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X:\fund\8 صندوق با تضمین کیان\گزارش ماهانه\1403\12-اسفند\"/>
    </mc:Choice>
  </mc:AlternateContent>
  <xr:revisionPtr revIDLastSave="0" documentId="13_ncr:1_{B5983D5D-3A8E-472F-B1EF-4D7B2142CA37}" xr6:coauthVersionLast="47" xr6:coauthVersionMax="47" xr10:uidLastSave="{00000000-0000-0000-0000-000000000000}"/>
  <bookViews>
    <workbookView xWindow="-120" yWindow="-120" windowWidth="24240" windowHeight="13140" tabRatio="815" activeTab="5" xr2:uid="{00000000-000D-0000-FFFF-FFFF00000000}"/>
  </bookViews>
  <sheets>
    <sheet name="روکش" sheetId="16" r:id="rId1"/>
    <sheet name=" سهام " sheetId="22" r:id="rId2"/>
    <sheet name="اوراق " sheetId="23" r:id="rId3"/>
    <sheet name="تعدیل اوراق " sheetId="24" r:id="rId4"/>
    <sheet name="سپرده" sheetId="25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درآمد سپرده بانکی" sheetId="27" r:id="rId9"/>
    <sheet name="سایر درآمدها" sheetId="8" r:id="rId10"/>
    <sheet name="درآمد سود سهام" sheetId="18" r:id="rId11"/>
    <sheet name="سود اوراق بهادار" sheetId="13" r:id="rId12"/>
    <sheet name="سود سپرده بانکی" sheetId="26" r:id="rId13"/>
    <sheet name="درآمد ناشی ازفروش" sheetId="15" r:id="rId14"/>
    <sheet name="درآمد ناشی از تغییر قیمت  " sheetId="14" r:id="rId15"/>
  </sheets>
  <externalReferences>
    <externalReference r:id="rId16"/>
  </externalReferences>
  <definedNames>
    <definedName name="_xlnm._FilterDatabase" localSheetId="1" hidden="1">' سهام '!$A$9:$W$9</definedName>
    <definedName name="_xlnm._FilterDatabase" localSheetId="3" hidden="1">'تعدیل اوراق '!$A$9:$M$9</definedName>
    <definedName name="_xlnm._FilterDatabase" localSheetId="8" hidden="1">'درآمد سپرده بانکی'!$A$7:$J$7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'!#REF!</definedName>
    <definedName name="_xlnm._FilterDatabase" localSheetId="14" hidden="1">'درآمد ناشی از تغییر قیمت  '!$A$6:$Q$6</definedName>
    <definedName name="_xlnm._FilterDatabase" localSheetId="13" hidden="1">'درآمد ناشی ازفروش'!$A$6:$Q$33</definedName>
    <definedName name="_xlnm._FilterDatabase" localSheetId="4" hidden="1">سپرده!$A$8:$K$8</definedName>
    <definedName name="_xlnm._FilterDatabase" localSheetId="11" hidden="1">'سود اوراق بهادار'!$A$6:$R$6</definedName>
    <definedName name="_xlnm._FilterDatabase" localSheetId="12" hidden="1">'سود سپرده بانکی'!$A$7:$L$7</definedName>
    <definedName name="a">#REF!</definedName>
    <definedName name="bb">#REF!</definedName>
    <definedName name="_xlnm.Print_Area" localSheetId="1">' سهام '!$A$1:$W$24</definedName>
    <definedName name="_xlnm.Print_Area" localSheetId="2">'اوراق '!$A$1:$AG$16</definedName>
    <definedName name="_xlnm.Print_Area" localSheetId="3">'تعدیل اوراق '!$A$1:$M$11</definedName>
    <definedName name="_xlnm.Print_Area" localSheetId="8">'درآمد سپرده بانکی'!$A$1:$J$15</definedName>
    <definedName name="_xlnm.Print_Area" localSheetId="7">'درآمد سرمایه گذاری در اوراق بها'!$A$1:$Q$17</definedName>
    <definedName name="_xlnm.Print_Area" localSheetId="6">'درآمد سرمایه گذاری در سهام '!$A$1:$U$57</definedName>
    <definedName name="_xlnm.Print_Area" localSheetId="10">'درآمد سود سهام'!$A$1:$S$11</definedName>
    <definedName name="_xlnm.Print_Area" localSheetId="14">'درآمد ناشی از تغییر قیمت  '!$A$1:$Q$31</definedName>
    <definedName name="_xlnm.Print_Area" localSheetId="13">'درآمد ناشی ازفروش'!$A$1:$Q$59</definedName>
    <definedName name="_xlnm.Print_Area" localSheetId="5">درآمدها!$A$1:$I$14</definedName>
    <definedName name="_xlnm.Print_Area" localSheetId="0">روکش!$A$1:$J$36</definedName>
    <definedName name="_xlnm.Print_Area" localSheetId="9">'سایر درآمدها'!$A$1:$E$11</definedName>
    <definedName name="_xlnm.Print_Area" localSheetId="4">سپرده!$A$1:$K$19</definedName>
    <definedName name="_xlnm.Print_Area" localSheetId="11">'سود اوراق بهادار'!$A$1:$R$12</definedName>
    <definedName name="_xlnm.Print_Area" localSheetId="12">'سود سپرده بانکی'!$A$1:$L$16</definedName>
    <definedName name="_xlnm.Print_Titles" localSheetId="1">' سهام '!$7:$9</definedName>
    <definedName name="_xlnm.Print_Titles" localSheetId="6">'درآمد سرمایه گذاری در سهام '!$7:$10</definedName>
    <definedName name="_xlnm.Print_Titles" localSheetId="14">'درآمد ناشی از تغییر قیمت  '!$5:$6</definedName>
    <definedName name="_xlnm.Print_Titles" localSheetId="13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E13" i="5"/>
  <c r="G13" i="5"/>
  <c r="M13" i="5"/>
  <c r="O13" i="5"/>
  <c r="Q13" i="5"/>
  <c r="C14" i="5"/>
  <c r="E14" i="5"/>
  <c r="I14" i="5" s="1"/>
  <c r="K14" i="5" s="1"/>
  <c r="G14" i="5"/>
  <c r="M14" i="5"/>
  <c r="O14" i="5"/>
  <c r="Q14" i="5"/>
  <c r="C12" i="5"/>
  <c r="E12" i="5"/>
  <c r="G12" i="5"/>
  <c r="M12" i="5"/>
  <c r="O12" i="5"/>
  <c r="Q12" i="5"/>
  <c r="M41" i="5"/>
  <c r="O41" i="5"/>
  <c r="Q41" i="5"/>
  <c r="M42" i="5"/>
  <c r="O42" i="5"/>
  <c r="Q42" i="5"/>
  <c r="M43" i="5"/>
  <c r="O43" i="5"/>
  <c r="Q43" i="5"/>
  <c r="M44" i="5"/>
  <c r="O44" i="5"/>
  <c r="Q44" i="5"/>
  <c r="M45" i="5"/>
  <c r="O45" i="5"/>
  <c r="Q45" i="5"/>
  <c r="M46" i="5"/>
  <c r="O46" i="5"/>
  <c r="Q46" i="5"/>
  <c r="S46" i="5" s="1"/>
  <c r="U46" i="5" s="1"/>
  <c r="M47" i="5"/>
  <c r="O47" i="5"/>
  <c r="Q47" i="5"/>
  <c r="M48" i="5"/>
  <c r="O48" i="5"/>
  <c r="Q48" i="5"/>
  <c r="M49" i="5"/>
  <c r="O49" i="5"/>
  <c r="Q49" i="5"/>
  <c r="M50" i="5"/>
  <c r="O50" i="5"/>
  <c r="Q50" i="5"/>
  <c r="M51" i="5"/>
  <c r="O51" i="5"/>
  <c r="Q51" i="5"/>
  <c r="M52" i="5"/>
  <c r="O52" i="5"/>
  <c r="Q52" i="5"/>
  <c r="M53" i="5"/>
  <c r="O53" i="5"/>
  <c r="Q53" i="5"/>
  <c r="M54" i="5"/>
  <c r="O54" i="5"/>
  <c r="Q54" i="5"/>
  <c r="C41" i="5"/>
  <c r="E41" i="5"/>
  <c r="G41" i="5"/>
  <c r="C42" i="5"/>
  <c r="E42" i="5"/>
  <c r="G42" i="5"/>
  <c r="C43" i="5"/>
  <c r="E43" i="5"/>
  <c r="I43" i="5" s="1"/>
  <c r="K43" i="5" s="1"/>
  <c r="G43" i="5"/>
  <c r="C44" i="5"/>
  <c r="E44" i="5"/>
  <c r="G44" i="5"/>
  <c r="C45" i="5"/>
  <c r="E45" i="5"/>
  <c r="G45" i="5"/>
  <c r="C46" i="5"/>
  <c r="E46" i="5"/>
  <c r="G46" i="5"/>
  <c r="C47" i="5"/>
  <c r="E47" i="5"/>
  <c r="G47" i="5"/>
  <c r="C48" i="5"/>
  <c r="E48" i="5"/>
  <c r="G48" i="5"/>
  <c r="C49" i="5"/>
  <c r="E49" i="5"/>
  <c r="G49" i="5"/>
  <c r="C50" i="5"/>
  <c r="E50" i="5"/>
  <c r="G50" i="5"/>
  <c r="C51" i="5"/>
  <c r="E51" i="5"/>
  <c r="G51" i="5"/>
  <c r="C52" i="5"/>
  <c r="E52" i="5"/>
  <c r="G52" i="5"/>
  <c r="C53" i="5"/>
  <c r="E53" i="5"/>
  <c r="G53" i="5"/>
  <c r="C54" i="5"/>
  <c r="E54" i="5"/>
  <c r="G5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55" i="5"/>
  <c r="C15" i="6"/>
  <c r="C14" i="6"/>
  <c r="E15" i="6"/>
  <c r="G10" i="6"/>
  <c r="O13" i="6"/>
  <c r="O14" i="6"/>
  <c r="O15" i="6"/>
  <c r="M13" i="6"/>
  <c r="M14" i="6"/>
  <c r="K13" i="6"/>
  <c r="K14" i="6"/>
  <c r="G13" i="6"/>
  <c r="G14" i="6"/>
  <c r="G15" i="6"/>
  <c r="E13" i="6"/>
  <c r="E14" i="6"/>
  <c r="C13" i="6"/>
  <c r="K10" i="6"/>
  <c r="K11" i="6"/>
  <c r="K12" i="6"/>
  <c r="C11" i="6"/>
  <c r="M15" i="6"/>
  <c r="C10" i="6"/>
  <c r="C16" i="6" s="1"/>
  <c r="C12" i="6"/>
  <c r="G18" i="15"/>
  <c r="G22" i="15"/>
  <c r="I22" i="15" s="1"/>
  <c r="E10" i="6"/>
  <c r="G23" i="15"/>
  <c r="I23" i="15" s="1"/>
  <c r="G19" i="15"/>
  <c r="I19" i="15" s="1"/>
  <c r="G17" i="15"/>
  <c r="I17" i="15" s="1"/>
  <c r="G13" i="15"/>
  <c r="I13" i="15" s="1"/>
  <c r="G32" i="15"/>
  <c r="G31" i="15"/>
  <c r="I31" i="15" s="1"/>
  <c r="G35" i="15"/>
  <c r="G50" i="15"/>
  <c r="I50" i="15" s="1"/>
  <c r="G49" i="15"/>
  <c r="G51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7" i="15"/>
  <c r="I8" i="15"/>
  <c r="I9" i="15"/>
  <c r="I10" i="15"/>
  <c r="I11" i="15"/>
  <c r="I12" i="15"/>
  <c r="I14" i="15"/>
  <c r="I15" i="15"/>
  <c r="I16" i="15"/>
  <c r="I18" i="15"/>
  <c r="I20" i="15"/>
  <c r="I21" i="15"/>
  <c r="I24" i="15"/>
  <c r="I25" i="15"/>
  <c r="I26" i="15"/>
  <c r="I27" i="15"/>
  <c r="I28" i="15"/>
  <c r="I29" i="15"/>
  <c r="I30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1" i="15"/>
  <c r="I52" i="15"/>
  <c r="I53" i="15"/>
  <c r="I7" i="15"/>
  <c r="A3" i="25"/>
  <c r="A3" i="11" s="1"/>
  <c r="A3" i="24"/>
  <c r="A3" i="23"/>
  <c r="H6" i="13"/>
  <c r="E10" i="8"/>
  <c r="A3" i="27"/>
  <c r="E6" i="11"/>
  <c r="E10" i="11"/>
  <c r="Z40" i="27"/>
  <c r="V40" i="27"/>
  <c r="G13" i="27"/>
  <c r="C13" i="27"/>
  <c r="G12" i="27"/>
  <c r="C12" i="27"/>
  <c r="G11" i="27"/>
  <c r="C11" i="27"/>
  <c r="G10" i="27"/>
  <c r="C10" i="27"/>
  <c r="G9" i="27"/>
  <c r="C9" i="27"/>
  <c r="G8" i="27"/>
  <c r="C8" i="27"/>
  <c r="G6" i="27"/>
  <c r="C6" i="27"/>
  <c r="J14" i="26"/>
  <c r="H14" i="26"/>
  <c r="D14" i="26"/>
  <c r="B14" i="26"/>
  <c r="L13" i="26"/>
  <c r="F13" i="26"/>
  <c r="L12" i="26"/>
  <c r="F12" i="26"/>
  <c r="L11" i="26"/>
  <c r="F11" i="26"/>
  <c r="L10" i="26"/>
  <c r="F10" i="26"/>
  <c r="L9" i="26"/>
  <c r="F9" i="26"/>
  <c r="F14" i="26" s="1"/>
  <c r="L8" i="26"/>
  <c r="L14" i="26" s="1"/>
  <c r="F8" i="26"/>
  <c r="H6" i="26"/>
  <c r="B6" i="26"/>
  <c r="A3" i="26"/>
  <c r="I17" i="25"/>
  <c r="G17" i="25"/>
  <c r="E17" i="25"/>
  <c r="C17" i="25"/>
  <c r="K16" i="25"/>
  <c r="K15" i="25"/>
  <c r="K14" i="25"/>
  <c r="K13" i="25"/>
  <c r="K12" i="25"/>
  <c r="K11" i="25"/>
  <c r="K10" i="25"/>
  <c r="K9" i="25"/>
  <c r="K17" i="25" s="1"/>
  <c r="I6" i="25"/>
  <c r="C6" i="25"/>
  <c r="K11" i="24"/>
  <c r="K10" i="24"/>
  <c r="I10" i="24"/>
  <c r="C8" i="24"/>
  <c r="AE15" i="23"/>
  <c r="AC15" i="23"/>
  <c r="W15" i="23"/>
  <c r="T15" i="23"/>
  <c r="Q15" i="23"/>
  <c r="O15" i="23"/>
  <c r="AG14" i="23"/>
  <c r="AG13" i="23"/>
  <c r="AG12" i="23"/>
  <c r="AG11" i="23"/>
  <c r="AG10" i="23"/>
  <c r="AG9" i="23"/>
  <c r="AG15" i="23" s="1"/>
  <c r="Y6" i="23"/>
  <c r="M6" i="23"/>
  <c r="U23" i="22"/>
  <c r="S23" i="22"/>
  <c r="M23" i="22"/>
  <c r="J23" i="22"/>
  <c r="G23" i="22"/>
  <c r="E23" i="22"/>
  <c r="W22" i="22"/>
  <c r="W21" i="22"/>
  <c r="W20" i="22"/>
  <c r="W19" i="22"/>
  <c r="W18" i="22"/>
  <c r="W17" i="22"/>
  <c r="W16" i="22"/>
  <c r="W15" i="22"/>
  <c r="W14" i="22"/>
  <c r="L14" i="22"/>
  <c r="W13" i="22"/>
  <c r="W12" i="22"/>
  <c r="W11" i="22"/>
  <c r="W10" i="22"/>
  <c r="W23" i="22" s="1"/>
  <c r="I53" i="5" l="1"/>
  <c r="K53" i="5" s="1"/>
  <c r="S49" i="5"/>
  <c r="U49" i="5" s="1"/>
  <c r="S45" i="5"/>
  <c r="U45" i="5" s="1"/>
  <c r="S41" i="5"/>
  <c r="U41" i="5" s="1"/>
  <c r="S51" i="5"/>
  <c r="U51" i="5" s="1"/>
  <c r="S47" i="5"/>
  <c r="U47" i="5" s="1"/>
  <c r="S43" i="5"/>
  <c r="U43" i="5" s="1"/>
  <c r="I12" i="5"/>
  <c r="K12" i="5" s="1"/>
  <c r="I13" i="5"/>
  <c r="K13" i="5" s="1"/>
  <c r="I54" i="5"/>
  <c r="K54" i="5" s="1"/>
  <c r="I52" i="5"/>
  <c r="K52" i="5" s="1"/>
  <c r="S44" i="5"/>
  <c r="U44" i="5" s="1"/>
  <c r="S12" i="5"/>
  <c r="U12" i="5" s="1"/>
  <c r="S13" i="5"/>
  <c r="U13" i="5" s="1"/>
  <c r="S50" i="5"/>
  <c r="U50" i="5" s="1"/>
  <c r="S14" i="5"/>
  <c r="U14" i="5" s="1"/>
  <c r="I45" i="5"/>
  <c r="K45" i="5" s="1"/>
  <c r="I49" i="5"/>
  <c r="K49" i="5" s="1"/>
  <c r="I46" i="5"/>
  <c r="K46" i="5" s="1"/>
  <c r="I44" i="5"/>
  <c r="K44" i="5" s="1"/>
  <c r="I50" i="5"/>
  <c r="K50" i="5" s="1"/>
  <c r="I41" i="5"/>
  <c r="K41" i="5" s="1"/>
  <c r="S52" i="5"/>
  <c r="U52" i="5" s="1"/>
  <c r="S42" i="5"/>
  <c r="U42" i="5" s="1"/>
  <c r="I48" i="5"/>
  <c r="K48" i="5" s="1"/>
  <c r="S54" i="5"/>
  <c r="U54" i="5" s="1"/>
  <c r="I51" i="5"/>
  <c r="K51" i="5" s="1"/>
  <c r="I42" i="5"/>
  <c r="K42" i="5" s="1"/>
  <c r="S53" i="5"/>
  <c r="U53" i="5" s="1"/>
  <c r="S48" i="5"/>
  <c r="U48" i="5" s="1"/>
  <c r="I47" i="5"/>
  <c r="K47" i="5" s="1"/>
  <c r="I14" i="6"/>
  <c r="I13" i="6"/>
  <c r="Q14" i="6"/>
  <c r="Q13" i="6"/>
  <c r="I15" i="6"/>
  <c r="Q15" i="6"/>
  <c r="K16" i="6"/>
  <c r="A3" i="13"/>
  <c r="A3" i="15"/>
  <c r="A3" i="6"/>
  <c r="A3" i="14"/>
  <c r="A3" i="5"/>
  <c r="A3" i="18"/>
  <c r="A3" i="8"/>
  <c r="I11" i="27"/>
  <c r="G14" i="27"/>
  <c r="C14" i="27"/>
  <c r="E9" i="27" l="1"/>
  <c r="I8" i="27"/>
  <c r="I14" i="27" s="1"/>
  <c r="AB40" i="27"/>
  <c r="E11" i="27"/>
  <c r="I12" i="27"/>
  <c r="I10" i="27"/>
  <c r="E8" i="27"/>
  <c r="E14" i="27" s="1"/>
  <c r="E12" i="27"/>
  <c r="I9" i="27"/>
  <c r="E13" i="27"/>
  <c r="I13" i="27"/>
  <c r="X40" i="27"/>
  <c r="E10" i="27"/>
  <c r="M26" i="14" l="1"/>
  <c r="E26" i="14"/>
  <c r="G26" i="14"/>
  <c r="O26" i="14"/>
  <c r="Q24" i="14"/>
  <c r="O11" i="18"/>
  <c r="S10" i="18"/>
  <c r="M10" i="18"/>
  <c r="M9" i="18"/>
  <c r="M11" i="18" s="1"/>
  <c r="M8" i="18"/>
  <c r="S8" i="18"/>
  <c r="S9" i="18"/>
  <c r="Q25" i="14" l="1"/>
  <c r="Q13" i="14"/>
  <c r="Q14" i="14"/>
  <c r="Q15" i="14"/>
  <c r="Q16" i="14"/>
  <c r="Q17" i="14"/>
  <c r="Q18" i="14"/>
  <c r="Q19" i="14"/>
  <c r="Q20" i="14"/>
  <c r="Q21" i="14"/>
  <c r="Q22" i="14"/>
  <c r="Q23" i="14"/>
  <c r="I25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E54" i="15" l="1"/>
  <c r="G54" i="15"/>
  <c r="M54" i="15"/>
  <c r="O54" i="15"/>
  <c r="C10" i="8" l="1"/>
  <c r="E11" i="11"/>
  <c r="Q10" i="14"/>
  <c r="Q11" i="14"/>
  <c r="Q8" i="14"/>
  <c r="Q9" i="14"/>
  <c r="I7" i="14"/>
  <c r="M39" i="5" l="1"/>
  <c r="Q39" i="5"/>
  <c r="M40" i="5"/>
  <c r="Q40" i="5"/>
  <c r="M55" i="5"/>
  <c r="C39" i="5"/>
  <c r="G39" i="5"/>
  <c r="C40" i="5"/>
  <c r="G40" i="5"/>
  <c r="G11" i="6" l="1"/>
  <c r="O6" i="18"/>
  <c r="N6" i="13"/>
  <c r="Q55" i="5" l="1"/>
  <c r="M38" i="5"/>
  <c r="C38" i="5"/>
  <c r="O39" i="5"/>
  <c r="S39" i="5" s="1"/>
  <c r="U39" i="5" s="1"/>
  <c r="O40" i="5"/>
  <c r="S40" i="5" s="1"/>
  <c r="U40" i="5" s="1"/>
  <c r="O55" i="5"/>
  <c r="O38" i="5"/>
  <c r="Q7" i="14"/>
  <c r="Q26" i="14" s="1"/>
  <c r="I8" i="14"/>
  <c r="I9" i="14"/>
  <c r="I10" i="14"/>
  <c r="I11" i="14"/>
  <c r="I40" i="5"/>
  <c r="K40" i="5" s="1"/>
  <c r="G12" i="6"/>
  <c r="Q11" i="18"/>
  <c r="K11" i="18"/>
  <c r="I11" i="18"/>
  <c r="G55" i="5"/>
  <c r="I39" i="5" l="1"/>
  <c r="K39" i="5" s="1"/>
  <c r="I26" i="14"/>
  <c r="G38" i="5"/>
  <c r="Q54" i="15"/>
  <c r="Q38" i="5"/>
  <c r="S38" i="5" s="1"/>
  <c r="U38" i="5" s="1"/>
  <c r="I54" i="15"/>
  <c r="S55" i="5"/>
  <c r="U55" i="5" s="1"/>
  <c r="I11" i="11"/>
  <c r="I38" i="5" l="1"/>
  <c r="K38" i="5" s="1"/>
  <c r="E11" i="5"/>
  <c r="E56" i="5" s="1"/>
  <c r="C36" i="5"/>
  <c r="C15" i="5"/>
  <c r="Q37" i="5" l="1"/>
  <c r="O37" i="5"/>
  <c r="M37" i="5"/>
  <c r="G37" i="5"/>
  <c r="C37" i="5"/>
  <c r="C11" i="5"/>
  <c r="G11" i="5"/>
  <c r="M10" i="6"/>
  <c r="G16" i="6"/>
  <c r="S11" i="18"/>
  <c r="I37" i="5" l="1"/>
  <c r="K37" i="5" s="1"/>
  <c r="S37" i="5"/>
  <c r="U37" i="5" s="1"/>
  <c r="I11" i="5"/>
  <c r="K11" i="5" s="1"/>
  <c r="C5" i="8" l="1"/>
  <c r="M16" i="5" l="1"/>
  <c r="M15" i="5"/>
  <c r="M11" i="5"/>
  <c r="I10" i="6" l="1"/>
  <c r="C18" i="5"/>
  <c r="G16" i="5"/>
  <c r="Q18" i="5"/>
  <c r="Q16" i="5"/>
  <c r="Q21" i="5"/>
  <c r="C17" i="5"/>
  <c r="Q19" i="5" l="1"/>
  <c r="Q34" i="5"/>
  <c r="Q31" i="5"/>
  <c r="Q30" i="5"/>
  <c r="Q25" i="5"/>
  <c r="G31" i="5"/>
  <c r="G27" i="5"/>
  <c r="G34" i="5"/>
  <c r="Q27" i="5"/>
  <c r="Q24" i="5"/>
  <c r="Q32" i="5"/>
  <c r="Q29" i="5"/>
  <c r="Q22" i="5"/>
  <c r="Q28" i="5"/>
  <c r="Q35" i="5"/>
  <c r="Q23" i="5"/>
  <c r="Q33" i="5"/>
  <c r="Q36" i="5"/>
  <c r="Q26" i="5"/>
  <c r="G24" i="5"/>
  <c r="G22" i="5"/>
  <c r="G26" i="5"/>
  <c r="G23" i="5"/>
  <c r="G33" i="5"/>
  <c r="G29" i="5"/>
  <c r="G35" i="5"/>
  <c r="G25" i="5"/>
  <c r="G20" i="5"/>
  <c r="G36" i="5"/>
  <c r="G28" i="5"/>
  <c r="Q20" i="5"/>
  <c r="Q11" i="5"/>
  <c r="Q15" i="5"/>
  <c r="G15" i="5"/>
  <c r="C16" i="5"/>
  <c r="K5" i="14"/>
  <c r="K5" i="15"/>
  <c r="E5" i="8"/>
  <c r="C5" i="14"/>
  <c r="C5" i="15"/>
  <c r="C6" i="6"/>
  <c r="K6" i="6"/>
  <c r="O12" i="6"/>
  <c r="O11" i="6"/>
  <c r="O10" i="6"/>
  <c r="M21" i="5"/>
  <c r="M24" i="5"/>
  <c r="M25" i="5"/>
  <c r="M27" i="5"/>
  <c r="M28" i="5"/>
  <c r="M30" i="5"/>
  <c r="M31" i="5"/>
  <c r="M32" i="5"/>
  <c r="M35" i="5"/>
  <c r="M36" i="5"/>
  <c r="M18" i="5"/>
  <c r="M19" i="5"/>
  <c r="C30" i="5"/>
  <c r="C31" i="5"/>
  <c r="C32" i="5"/>
  <c r="C33" i="5"/>
  <c r="C34" i="5"/>
  <c r="C35" i="5"/>
  <c r="C55" i="5"/>
  <c r="C24" i="5"/>
  <c r="C25" i="5"/>
  <c r="C26" i="5"/>
  <c r="C27" i="5"/>
  <c r="C28" i="5"/>
  <c r="C29" i="5"/>
  <c r="C19" i="5"/>
  <c r="C20" i="5"/>
  <c r="C21" i="5"/>
  <c r="C22" i="5"/>
  <c r="C23" i="5"/>
  <c r="Q9" i="13"/>
  <c r="P9" i="13"/>
  <c r="N9" i="13"/>
  <c r="J9" i="13"/>
  <c r="H9" i="13"/>
  <c r="R8" i="13"/>
  <c r="R9" i="13" s="1"/>
  <c r="L8" i="13"/>
  <c r="L9" i="13" s="1"/>
  <c r="O16" i="6" l="1"/>
  <c r="Q10" i="6"/>
  <c r="I55" i="5"/>
  <c r="K55" i="5" s="1"/>
  <c r="C56" i="5"/>
  <c r="G32" i="5"/>
  <c r="G30" i="5"/>
  <c r="M22" i="5"/>
  <c r="M29" i="5"/>
  <c r="I10" i="11" l="1"/>
  <c r="M33" i="5"/>
  <c r="M34" i="5"/>
  <c r="M17" i="5"/>
  <c r="M23" i="5"/>
  <c r="Q17" i="5"/>
  <c r="Q56" i="5" s="1"/>
  <c r="O17" i="5" l="1"/>
  <c r="S17" i="5" s="1"/>
  <c r="U17" i="5" s="1"/>
  <c r="M11" i="6" l="1"/>
  <c r="G21" i="5"/>
  <c r="G18" i="5"/>
  <c r="O15" i="5"/>
  <c r="S15" i="5" s="1"/>
  <c r="U15" i="5" s="1"/>
  <c r="O16" i="5"/>
  <c r="S16" i="5" s="1"/>
  <c r="U16" i="5" s="1"/>
  <c r="G19" i="5"/>
  <c r="I16" i="5"/>
  <c r="K16" i="5" s="1"/>
  <c r="O25" i="5"/>
  <c r="S25" i="5" s="1"/>
  <c r="U25" i="5" s="1"/>
  <c r="O22" i="5"/>
  <c r="S22" i="5" s="1"/>
  <c r="U22" i="5" s="1"/>
  <c r="O26" i="5"/>
  <c r="O23" i="5"/>
  <c r="S23" i="5" s="1"/>
  <c r="U23" i="5" s="1"/>
  <c r="M12" i="6"/>
  <c r="Q12" i="6" s="1"/>
  <c r="I15" i="5"/>
  <c r="K15" i="5" s="1"/>
  <c r="O11" i="5"/>
  <c r="S11" i="5" s="1"/>
  <c r="U11" i="5" s="1"/>
  <c r="G17" i="5"/>
  <c r="O24" i="5"/>
  <c r="S24" i="5" s="1"/>
  <c r="U24" i="5" s="1"/>
  <c r="O28" i="5"/>
  <c r="S28" i="5" s="1"/>
  <c r="U28" i="5" s="1"/>
  <c r="O35" i="5"/>
  <c r="S35" i="5" s="1"/>
  <c r="U35" i="5" s="1"/>
  <c r="I36" i="5"/>
  <c r="K36" i="5" s="1"/>
  <c r="O36" i="5"/>
  <c r="S36" i="5" s="1"/>
  <c r="U36" i="5" s="1"/>
  <c r="M16" i="6" l="1"/>
  <c r="I17" i="5"/>
  <c r="K17" i="5" s="1"/>
  <c r="Q11" i="6"/>
  <c r="Q16" i="6" s="1"/>
  <c r="G56" i="5"/>
  <c r="E12" i="6"/>
  <c r="I12" i="6" s="1"/>
  <c r="O21" i="5"/>
  <c r="S21" i="5" s="1"/>
  <c r="U21" i="5" s="1"/>
  <c r="E11" i="6"/>
  <c r="I35" i="5"/>
  <c r="K35" i="5" s="1"/>
  <c r="I24" i="5"/>
  <c r="K24" i="5" s="1"/>
  <c r="I18" i="5"/>
  <c r="K18" i="5" s="1"/>
  <c r="I32" i="5"/>
  <c r="K32" i="5" s="1"/>
  <c r="O19" i="5"/>
  <c r="S19" i="5" s="1"/>
  <c r="U19" i="5" s="1"/>
  <c r="O18" i="5"/>
  <c r="S18" i="5" s="1"/>
  <c r="U18" i="5" s="1"/>
  <c r="O34" i="5"/>
  <c r="S34" i="5" s="1"/>
  <c r="U34" i="5" s="1"/>
  <c r="O32" i="5"/>
  <c r="S32" i="5" s="1"/>
  <c r="U32" i="5" s="1"/>
  <c r="O29" i="5"/>
  <c r="S29" i="5" s="1"/>
  <c r="U29" i="5" s="1"/>
  <c r="O27" i="5"/>
  <c r="S27" i="5" s="1"/>
  <c r="U27" i="5" s="1"/>
  <c r="I19" i="5"/>
  <c r="K19" i="5" s="1"/>
  <c r="I33" i="5"/>
  <c r="K33" i="5" s="1"/>
  <c r="I34" i="5"/>
  <c r="K34" i="5" s="1"/>
  <c r="I30" i="5"/>
  <c r="K30" i="5" s="1"/>
  <c r="I27" i="5"/>
  <c r="K27" i="5" s="1"/>
  <c r="I28" i="5"/>
  <c r="K28" i="5" s="1"/>
  <c r="O33" i="5"/>
  <c r="S33" i="5" s="1"/>
  <c r="U33" i="5" s="1"/>
  <c r="O31" i="5"/>
  <c r="S31" i="5" s="1"/>
  <c r="U31" i="5" s="1"/>
  <c r="I26" i="5"/>
  <c r="K26" i="5" s="1"/>
  <c r="I23" i="5"/>
  <c r="K23" i="5" s="1"/>
  <c r="I21" i="5"/>
  <c r="K21" i="5" s="1"/>
  <c r="O30" i="5"/>
  <c r="S30" i="5" s="1"/>
  <c r="U30" i="5" s="1"/>
  <c r="I22" i="5"/>
  <c r="K22" i="5" s="1"/>
  <c r="I31" i="5"/>
  <c r="K31" i="5" s="1"/>
  <c r="I25" i="5"/>
  <c r="K25" i="5" s="1"/>
  <c r="I29" i="5"/>
  <c r="K29" i="5" s="1"/>
  <c r="O20" i="5"/>
  <c r="I20" i="5"/>
  <c r="K20" i="5" s="1"/>
  <c r="E16" i="6" l="1"/>
  <c r="E9" i="11"/>
  <c r="I9" i="11" s="1"/>
  <c r="K56" i="5"/>
  <c r="I11" i="6"/>
  <c r="I16" i="6" s="1"/>
  <c r="O56" i="5"/>
  <c r="I56" i="5" l="1"/>
  <c r="M20" i="5" l="1"/>
  <c r="S20" i="5" l="1"/>
  <c r="U20" i="5" s="1"/>
  <c r="M26" i="5"/>
  <c r="S26" i="5" s="1"/>
  <c r="U26" i="5" s="1"/>
  <c r="U56" i="5" l="1"/>
  <c r="M56" i="5"/>
  <c r="S56" i="5" l="1"/>
  <c r="E8" i="11" l="1"/>
  <c r="E12" i="11" s="1"/>
  <c r="I8" i="11" l="1"/>
  <c r="I12" i="11" s="1"/>
  <c r="G9" i="11"/>
  <c r="G10" i="11"/>
  <c r="G11" i="11"/>
  <c r="G8" i="11"/>
  <c r="G12" i="11" l="1"/>
</calcChain>
</file>

<file path=xl/sharedStrings.xml><?xml version="1.0" encoding="utf-8"?>
<sst xmlns="http://schemas.openxmlformats.org/spreadsheetml/2006/main" count="418" uniqueCount="183">
  <si>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</si>
  <si>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</si>
  <si>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</si>
  <si>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</si>
  <si>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</si>
  <si>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</si>
  <si>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</si>
  <si>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</si>
  <si>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</si>
  <si>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</si>
  <si>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</si>
  <si>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</si>
  <si>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</si>
  <si>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</si>
  <si>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</si>
  <si>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</si>
  <si>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</si>
  <si>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</si>
  <si>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</si>
  <si>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</si>
  <si>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</si>
  <si>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</si>
  <si>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</si>
  <si>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</si>
  <si>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</si>
  <si>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</si>
  <si>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</si>
  <si>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</si>
  <si>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</si>
  <si>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</si>
  <si>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</si>
  <si>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</si>
  <si>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</si>
  <si>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</si>
  <si>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</si>
  <si>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</si>
  <si>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</si>
  <si>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</si>
  <si>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</si>
  <si>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</si>
  <si>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</si>
  <si>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</si>
  <si>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</si>
  <si>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</si>
  <si>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</si>
  <si>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</si>
  <si>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</si>
  <si>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</si>
  <si>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</si>
  <si>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</si>
  <si>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</si>
  <si>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</si>
  <si>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</si>
  <si>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</si>
  <si>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</si>
  <si>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</si>
  <si>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</si>
  <si>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</si>
  <si>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</si>
  <si>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</si>
  <si>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</si>
  <si>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</si>
  <si>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</si>
  <si>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</si>
  <si>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</si>
  <si>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</si>
  <si>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</si>
  <si>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</si>
  <si>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</si>
  <si>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</si>
  <si>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</si>
  <si>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</si>
  <si>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</si>
  <si>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</si>
  <si>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</si>
  <si>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</si>
  <si>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</si>
  <si>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</si>
  <si>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</si>
  <si>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</si>
  <si>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</si>
  <si>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دارایی‌ها</t>
  </si>
  <si>
    <t>درآمدها</t>
  </si>
  <si>
    <t>صندوق سرمایه گذاری با تضمین اصل سرمایه کیان</t>
  </si>
  <si>
    <t>فولاد کاوه جنوب کیش (کاوه)</t>
  </si>
  <si>
    <t>صنایع پتروشیمی کرمانشاه (کرماشا)</t>
  </si>
  <si>
    <t>سر. صندوق بازنشستگی (وصندوق)</t>
  </si>
  <si>
    <t>مبین انرژی خلیج فارس (مبین)</t>
  </si>
  <si>
    <t>توسعه معدنی و صنعتی صبانور (کنور)</t>
  </si>
  <si>
    <t>بانک خاورمیانه (وخاور)</t>
  </si>
  <si>
    <t>پاسارگاد209.8100.15644767.1 -کوتاه مدت</t>
  </si>
  <si>
    <t>درآمد حاصل از سرمایه­گذاری در سهام و حق تقدم سهام و صندوق‌های سرمایه‌گذاری</t>
  </si>
  <si>
    <t>سیمان صوفیان (سصوفی)</t>
  </si>
  <si>
    <t>سیمان آبیک (سآبیک)</t>
  </si>
  <si>
    <t>پتروشیمی تندگویان (شگویا)</t>
  </si>
  <si>
    <t>سیمان مازندران (سمازن)</t>
  </si>
  <si>
    <t>بلی</t>
  </si>
  <si>
    <t>آهن و فولاد غدیر ایرانیان (فغدیر)</t>
  </si>
  <si>
    <t>گروه مالی صبا تامین (صبا)</t>
  </si>
  <si>
    <t>اسناد خزانه-م3بودجه01-040520 (اخزا103)</t>
  </si>
  <si>
    <t>اسنادخزانه-م1بودجه02-050325 (اخزا201)</t>
  </si>
  <si>
    <t>1401/05/18</t>
  </si>
  <si>
    <t>1402/06/19</t>
  </si>
  <si>
    <t>1404/05/20</t>
  </si>
  <si>
    <t>1405/03/25</t>
  </si>
  <si>
    <t>پالایش نفت تبریز (شبریز)</t>
  </si>
  <si>
    <t>سرمایه گذاری و توسعه صنایع سیمان (سیدکو)</t>
  </si>
  <si>
    <t>سر. تامین اجتماعی (شستا)</t>
  </si>
  <si>
    <t>نشاسته و گلوکز آردینه (آردینه)</t>
  </si>
  <si>
    <t>پارس فنر (فنر)</t>
  </si>
  <si>
    <t>اسنادخزانه-م4بودجه01-040917 (اخزا104)</t>
  </si>
  <si>
    <t>1401/12/08</t>
  </si>
  <si>
    <t>1404/09/17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</si>
  <si>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</si>
  <si>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</si>
  <si>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</si>
  <si>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</si>
  <si>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
آخرین معامله</t>
  </si>
  <si>
    <t>‫قیمت تعدیل شده</t>
  </si>
  <si>
    <t>‫درصد تعدیل</t>
  </si>
  <si>
    <t>‫خالص ارزش فروش تعدیل شده</t>
  </si>
  <si>
    <t>‫دلیل تعدیل</t>
  </si>
  <si>
    <t>کاشی سینا (کساوه)</t>
  </si>
  <si>
    <t>پاسارگاد 209.307.15644767.2</t>
  </si>
  <si>
    <t>نرخ سود</t>
  </si>
  <si>
    <t>سبحان دارو (دسبحان)</t>
  </si>
  <si>
    <t>دارو فارابی (دفارا)</t>
  </si>
  <si>
    <t>مواد داروپخش (دتماد)</t>
  </si>
  <si>
    <t>داروسازی قاضی (دقاضی)</t>
  </si>
  <si>
    <t>پارس دارو (دپارس)</t>
  </si>
  <si>
    <t>پخش هجرت (هجرت)</t>
  </si>
  <si>
    <t>توزیع داروپخش (دتوزیع)</t>
  </si>
  <si>
    <t>1403/07/28</t>
  </si>
  <si>
    <t>موتوژن (بموتو)</t>
  </si>
  <si>
    <t>مجتمع صنایع و معادن احیاء سپاهان (واحیا)</t>
  </si>
  <si>
    <t>1403/09/25</t>
  </si>
  <si>
    <t>اختیارخ شستا-1350-1403/11/10 (ضستا1128)</t>
  </si>
  <si>
    <t>کوتاه مدت خاورمیانه</t>
  </si>
  <si>
    <t>تعدیل کارمزد کارگزاری</t>
  </si>
  <si>
    <t>صادرات کوتاه مدت 0219731449008</t>
  </si>
  <si>
    <t>صادرات بلند مدت 0407535977008</t>
  </si>
  <si>
    <t>1403/11/30</t>
  </si>
  <si>
    <t>ذوب آهن اصفهان (ذوب)</t>
  </si>
  <si>
    <t>اختیارخ ذوب-400-1403/12/22 (ضذوب1202)</t>
  </si>
  <si>
    <t>1403/11/23</t>
  </si>
  <si>
    <t>بانک ملت (وبملت)</t>
  </si>
  <si>
    <t>پویا زرکان آق دره (فزر)</t>
  </si>
  <si>
    <t>1403/12/30</t>
  </si>
  <si>
    <t>منتهی به 1403/12/30</t>
  </si>
  <si>
    <t>اسناد خزانه-م11بودجه02-050720 (اخزا211)</t>
  </si>
  <si>
    <t>1402/12/29</t>
  </si>
  <si>
    <t>1405/07/20</t>
  </si>
  <si>
    <t>اسناد خزانه-م12بودجه02-050916 (اخزا212)</t>
  </si>
  <si>
    <t>1405/09/16</t>
  </si>
  <si>
    <t>مرابحه آرمان ارگ-کیان071221 (آرمان ارگ072)</t>
  </si>
  <si>
    <t>1403/12/21</t>
  </si>
  <si>
    <t>1407/12/21</t>
  </si>
  <si>
    <t>دی بلند مدت 0406530895001</t>
  </si>
  <si>
    <t>دی کوتاه مدت 0206530579005</t>
  </si>
  <si>
    <t>گردشگری کوتاه مدت 164996718439801</t>
  </si>
  <si>
    <t>برای ماه منتهی به 1403/12/30</t>
  </si>
  <si>
    <t>اختیارخ ذوب-300-1404/01/20 (ضذوب0112)</t>
  </si>
  <si>
    <t>اختیارخ شستا-1200-1404/01/20 (ضستا0126)</t>
  </si>
  <si>
    <t>اختیارخ وبملت-2054-1404/01/27 (ضملت0118)</t>
  </si>
  <si>
    <t>اختیارخ شستا-1300-1404/01/20 (ضستا0127)</t>
  </si>
  <si>
    <t>اختیارخ فزر-46000-14040214 (ضفزر209)</t>
  </si>
  <si>
    <t>اختیارخ ذوب-200-1404/03/21 (ضذوب3036)</t>
  </si>
  <si>
    <t>اختیارخ شستا-1100-1404/02/10 (ضستا2037)</t>
  </si>
  <si>
    <t>اختیارخ شستا-1100-1404/01/20 (ضستا0125)</t>
  </si>
  <si>
    <t>اختیارخ ذوب-300-1404/02/24 (ضذوب2001)</t>
  </si>
  <si>
    <t>اختیارخ ذوب-200-1404/01/20 (ضذوب0111)</t>
  </si>
  <si>
    <t>اختیارخ ذوب-200-1404/02/24 (ضذوب2000)</t>
  </si>
  <si>
    <t>اختیارخ ذوب-200-1404/04/25 (ضذوب4000)</t>
  </si>
  <si>
    <t>اختیارخ ذوب-300-1404/03/21 (ضذوب3037)</t>
  </si>
  <si>
    <t>طی اسفند ماه</t>
  </si>
  <si>
    <t>از ابتدای سال مالی تا پایان اسفند ماه</t>
  </si>
  <si>
    <t>1404/03/21</t>
  </si>
  <si>
    <t>23.00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</si>
  <si>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یا سود دریافتنی تا تاریخ سررسید ثبت می‌گردد.</t>
  </si>
  <si>
    <t>سود اوراق بهادار با درآمد ثابت و سپرده بانکی</t>
  </si>
  <si>
    <t>‫الف- درآمد سود سهام</t>
  </si>
  <si>
    <t xml:space="preserve"> ب- درآمد ناشی از تغییر قیمت اوراق بهادار</t>
  </si>
  <si>
    <t xml:space="preserve"> د- سود اوراق بهادار با درآمد 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</si>
</sst>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00_);_(* \(#,##0.000\);_(* &quot;-&quot;??_);_(@_)"/>
    <numFmt numFmtId="167" formatCode="_(* #,##0.000000_);_(* \(#,##0.000000\);_(* &quot;-&quot;??_);_(@_)"/>
    <numFmt numFmtId="168" formatCode="_-* #,##0.00_-;_-* #,##0.00\-;_-* &quot;-&quot;??_-;_-@_-"/>
    <numFmt numFmtId="169" formatCode="_-* #,##0.00000000_-;_-* #,##0.00000000\-;_-* &quot;-&quot;??_-;_-@_-"/>
    <numFmt numFmtId="170" formatCode="_-* #,##0_-;_-* #,##0\-;_-* &quot;-&quot;??_-;_-@_-"/>
    <numFmt numFmtId="171" formatCode="_-* #,##0.000000000000_-;_-* #,##0.000000000000\-;_-* &quot;-&quot;??_-;_-@_-"/>
    <numFmt numFmtId="172" formatCode="#,##0.0_);\(#,##0.0\)"/>
    <numFmt numFmtId="173" formatCode="_(* #,##0.0_);_(* \(#,##0.0\);_(* &quot;-&quot;??_);_(@_)"/>
  </numFmts>
  <fonts count="6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8"/>
      <color theme="1"/>
      <name val="B Mitra"/>
      <charset val="178"/>
    </font>
    <font>
      <sz val="16"/>
      <name val="B Mitra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name val="B Mitra"/>
      <charset val="178"/>
    </font>
    <font>
      <b/>
      <sz val="13"/>
      <color rgb="FF000000"/>
      <name val="B Mitra"/>
      <charset val="178"/>
    </font>
    <font>
      <b/>
      <sz val="12"/>
      <color theme="1" tint="0.14999847407452621"/>
      <name val="B Mitra"/>
      <charset val="178"/>
    </font>
    <font>
      <b/>
      <sz val="14"/>
      <color theme="1" tint="0.14999847407452621"/>
      <name val="B Mitra"/>
      <charset val="178"/>
    </font>
    <font>
      <sz val="8"/>
      <color theme="1"/>
      <name val="B Nazanin"/>
      <family val="2"/>
    </font>
    <font>
      <sz val="20"/>
      <color rgb="FF0070C0"/>
      <name val="B Mitra"/>
      <charset val="178"/>
    </font>
    <font>
      <sz val="20"/>
      <color rgb="FFFF0000"/>
      <name val="B Mitra"/>
      <charset val="178"/>
    </font>
    <font>
      <sz val="12"/>
      <color rgb="FFFF0000"/>
      <name val="B Mitra"/>
      <charset val="178"/>
    </font>
    <font>
      <sz val="12"/>
      <color rgb="FF0070C0"/>
      <name val="B Mitra"/>
      <charset val="178"/>
    </font>
    <font>
      <sz val="16"/>
      <color rgb="FFFF0000"/>
      <name val="B Mitra"/>
      <charset val="178"/>
    </font>
    <font>
      <sz val="14"/>
      <color rgb="FF0070C0"/>
      <name val="B Mitra"/>
      <charset val="178"/>
    </font>
    <font>
      <sz val="16"/>
      <color rgb="FF0070C0"/>
      <name val="B Mitra"/>
      <charset val="178"/>
    </font>
    <font>
      <sz val="20"/>
      <color rgb="FF7030A0"/>
      <name val="B Mitra"/>
      <charset val="178"/>
    </font>
    <font>
      <sz val="14"/>
      <color theme="2" tint="-0.749992370372631"/>
      <name val="B Mitra"/>
      <charset val="178"/>
    </font>
    <font>
      <sz val="20"/>
      <color theme="1" tint="0.34998626667073579"/>
      <name val="B Mitra"/>
      <charset val="178"/>
    </font>
    <font>
      <sz val="14"/>
      <color theme="1" tint="0.34998626667073579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406">
    <xf numFmtId="0" fontId="0" fillId="0" borderId="0" xfId="0"/>
    <xf numFmtId="0" fontId="12" fillId="0" borderId="0" xfId="0" applyFont="1"/>
    <xf numFmtId="165" fontId="8" fillId="0" borderId="0" xfId="1" applyNumberFormat="1" applyFont="1" applyFill="1"/>
    <xf numFmtId="0" fontId="29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4" fontId="18" fillId="0" borderId="1" xfId="1" applyNumberFormat="1" applyFont="1" applyFill="1" applyBorder="1"/>
    <xf numFmtId="164" fontId="18" fillId="0" borderId="0" xfId="1" applyNumberFormat="1" applyFont="1" applyFill="1" applyAlignment="1">
      <alignment vertical="center"/>
    </xf>
    <xf numFmtId="10" fontId="11" fillId="0" borderId="0" xfId="2" applyNumberFormat="1" applyFont="1" applyFill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64" fontId="14" fillId="0" borderId="0" xfId="1" applyNumberFormat="1" applyFont="1" applyFill="1"/>
    <xf numFmtId="164" fontId="8" fillId="0" borderId="0" xfId="1" applyNumberFormat="1" applyFont="1" applyFill="1" applyAlignment="1">
      <alignment vertical="center"/>
    </xf>
    <xf numFmtId="164" fontId="12" fillId="0" borderId="0" xfId="1" applyNumberFormat="1" applyFont="1" applyFill="1"/>
    <xf numFmtId="164" fontId="12" fillId="0" borderId="0" xfId="1" applyNumberFormat="1" applyFont="1" applyFill="1" applyAlignme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/>
    <xf numFmtId="164" fontId="13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/>
    <xf numFmtId="164" fontId="1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20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165" fontId="12" fillId="0" borderId="0" xfId="1" applyNumberFormat="1" applyFont="1" applyFill="1"/>
    <xf numFmtId="165" fontId="13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 readingOrder="2"/>
    </xf>
    <xf numFmtId="165" fontId="22" fillId="0" borderId="1" xfId="1" applyNumberFormat="1" applyFont="1" applyFill="1" applyBorder="1" applyAlignment="1">
      <alignment horizontal="center" vertical="center" wrapText="1" readingOrder="2"/>
    </xf>
    <xf numFmtId="165" fontId="21" fillId="0" borderId="4" xfId="1" applyNumberFormat="1" applyFont="1" applyFill="1" applyBorder="1" applyAlignment="1">
      <alignment horizontal="center" vertical="center" wrapText="1" readingOrder="2"/>
    </xf>
    <xf numFmtId="16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164" fontId="25" fillId="0" borderId="13" xfId="1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Alignment="1">
      <alignment vertical="center" wrapText="1"/>
    </xf>
    <xf numFmtId="164" fontId="18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/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164" fontId="20" fillId="0" borderId="9" xfId="1" applyNumberFormat="1" applyFont="1" applyFill="1" applyBorder="1" applyAlignment="1">
      <alignment horizontal="left" vertical="center"/>
    </xf>
    <xf numFmtId="164" fontId="20" fillId="0" borderId="0" xfId="1" applyNumberFormat="1" applyFont="1" applyFill="1" applyBorder="1" applyAlignment="1">
      <alignment vertical="center"/>
    </xf>
    <xf numFmtId="10" fontId="6" fillId="0" borderId="8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3" fontId="40" fillId="0" borderId="0" xfId="0" applyNumberFormat="1" applyFont="1"/>
    <xf numFmtId="0" fontId="18" fillId="0" borderId="0" xfId="0" applyFont="1"/>
    <xf numFmtId="0" fontId="8" fillId="0" borderId="0" xfId="0" applyFont="1"/>
    <xf numFmtId="164" fontId="18" fillId="0" borderId="1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right" vertical="center" readingOrder="2"/>
    </xf>
    <xf numFmtId="164" fontId="12" fillId="0" borderId="0" xfId="0" applyNumberFormat="1" applyFont="1"/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0" fontId="21" fillId="0" borderId="8" xfId="2" applyNumberFormat="1" applyFont="1" applyFill="1" applyBorder="1" applyAlignment="1">
      <alignment horizontal="center" vertical="center" wrapText="1" readingOrder="2"/>
    </xf>
    <xf numFmtId="165" fontId="8" fillId="0" borderId="0" xfId="1" applyNumberFormat="1" applyFont="1" applyFill="1" applyAlignment="1"/>
    <xf numFmtId="164" fontId="27" fillId="0" borderId="0" xfId="1" applyNumberFormat="1" applyFont="1" applyFill="1" applyBorder="1" applyAlignment="1">
      <alignment vertical="center" wrapText="1" readingOrder="2"/>
    </xf>
    <xf numFmtId="37" fontId="42" fillId="0" borderId="0" xfId="0" applyNumberFormat="1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right" vertical="center" readingOrder="2"/>
    </xf>
    <xf numFmtId="164" fontId="17" fillId="0" borderId="0" xfId="1" applyNumberFormat="1" applyFont="1" applyFill="1" applyAlignment="1">
      <alignment vertical="center" readingOrder="2"/>
    </xf>
    <xf numFmtId="164" fontId="19" fillId="0" borderId="12" xfId="1" applyNumberFormat="1" applyFont="1" applyFill="1" applyBorder="1" applyAlignment="1">
      <alignment horizontal="right" vertical="center" readingOrder="2"/>
    </xf>
    <xf numFmtId="164" fontId="33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center"/>
    </xf>
    <xf numFmtId="164" fontId="31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center" vertical="center" readingOrder="2"/>
    </xf>
    <xf numFmtId="164" fontId="39" fillId="0" borderId="0" xfId="1" applyNumberFormat="1" applyFont="1" applyFill="1"/>
    <xf numFmtId="164" fontId="18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32" fillId="0" borderId="0" xfId="1" applyNumberFormat="1" applyFont="1" applyFill="1"/>
    <xf numFmtId="37" fontId="16" fillId="0" borderId="0" xfId="1" applyNumberFormat="1" applyFont="1" applyFill="1" applyAlignment="1">
      <alignment horizontal="center" vertical="center" readingOrder="2"/>
    </xf>
    <xf numFmtId="37" fontId="17" fillId="0" borderId="0" xfId="1" applyNumberFormat="1" applyFont="1" applyFill="1" applyAlignment="1">
      <alignment horizontal="center" vertical="center" readingOrder="2"/>
    </xf>
    <xf numFmtId="37" fontId="18" fillId="0" borderId="0" xfId="1" applyNumberFormat="1" applyFont="1" applyFill="1" applyAlignment="1">
      <alignment horizontal="center"/>
    </xf>
    <xf numFmtId="3" fontId="0" fillId="0" borderId="0" xfId="0" applyNumberFormat="1"/>
    <xf numFmtId="169" fontId="44" fillId="0" borderId="0" xfId="5" applyNumberFormat="1" applyFont="1" applyFill="1" applyAlignment="1">
      <alignment horizontal="left" vertical="center" wrapText="1" shrinkToFit="1"/>
    </xf>
    <xf numFmtId="0" fontId="44" fillId="0" borderId="0" xfId="0" applyFont="1" applyAlignment="1">
      <alignment vertical="center"/>
    </xf>
    <xf numFmtId="0" fontId="45" fillId="0" borderId="0" xfId="0" applyFont="1"/>
    <xf numFmtId="37" fontId="46" fillId="0" borderId="10" xfId="0" applyNumberFormat="1" applyFont="1" applyBorder="1" applyAlignment="1">
      <alignment horizontal="center" vertical="center"/>
    </xf>
    <xf numFmtId="37" fontId="46" fillId="0" borderId="10" xfId="0" applyNumberFormat="1" applyFont="1" applyBorder="1" applyAlignment="1">
      <alignment horizontal="center" vertical="center" wrapText="1"/>
    </xf>
    <xf numFmtId="170" fontId="44" fillId="0" borderId="0" xfId="0" applyNumberFormat="1" applyFont="1" applyAlignment="1">
      <alignment vertical="center"/>
    </xf>
    <xf numFmtId="0" fontId="49" fillId="0" borderId="0" xfId="0" applyFont="1"/>
    <xf numFmtId="164" fontId="48" fillId="0" borderId="0" xfId="0" applyNumberFormat="1" applyFont="1" applyAlignment="1">
      <alignment horizontal="center" vertical="center" wrapText="1" shrinkToFit="1"/>
    </xf>
    <xf numFmtId="0" fontId="49" fillId="0" borderId="0" xfId="0" applyFont="1" applyAlignment="1">
      <alignment horizontal="center"/>
    </xf>
    <xf numFmtId="164" fontId="48" fillId="0" borderId="0" xfId="0" applyNumberFormat="1" applyFont="1" applyAlignment="1">
      <alignment horizontal="left" vertical="center" wrapText="1" shrinkToFit="1"/>
    </xf>
    <xf numFmtId="0" fontId="44" fillId="0" borderId="0" xfId="0" applyFont="1"/>
    <xf numFmtId="171" fontId="44" fillId="0" borderId="0" xfId="5" applyNumberFormat="1" applyFont="1" applyFill="1" applyAlignment="1">
      <alignment horizontal="left" vertical="center" wrapText="1" shrinkToFit="1"/>
    </xf>
    <xf numFmtId="0" fontId="49" fillId="0" borderId="0" xfId="0" applyFont="1" applyAlignment="1">
      <alignment vertical="center"/>
    </xf>
    <xf numFmtId="37" fontId="48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48" fillId="0" borderId="8" xfId="0" applyNumberFormat="1" applyFont="1" applyBorder="1" applyAlignment="1">
      <alignment horizontal="left" vertical="center" wrapText="1" shrinkToFit="1"/>
    </xf>
    <xf numFmtId="164" fontId="4" fillId="0" borderId="1" xfId="1" applyNumberFormat="1" applyFont="1" applyFill="1" applyBorder="1" applyAlignment="1">
      <alignment horizontal="center" vertical="center"/>
    </xf>
    <xf numFmtId="10" fontId="48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left" vertical="center" wrapText="1" shrinkToFit="1"/>
    </xf>
    <xf numFmtId="0" fontId="7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0" fontId="4" fillId="0" borderId="0" xfId="1" applyNumberFormat="1" applyFont="1" applyFill="1" applyAlignment="1">
      <alignment vertical="center"/>
    </xf>
    <xf numFmtId="3" fontId="18" fillId="0" borderId="0" xfId="1" applyNumberFormat="1" applyFont="1" applyFill="1" applyAlignment="1">
      <alignment vertical="center"/>
    </xf>
    <xf numFmtId="172" fontId="13" fillId="2" borderId="0" xfId="1" applyNumberFormat="1" applyFont="1" applyFill="1" applyAlignment="1">
      <alignment vertical="center"/>
    </xf>
    <xf numFmtId="172" fontId="13" fillId="3" borderId="0" xfId="1" applyNumberFormat="1" applyFont="1" applyFill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/>
    </xf>
    <xf numFmtId="37" fontId="42" fillId="0" borderId="0" xfId="0" applyNumberFormat="1" applyFont="1" applyAlignment="1">
      <alignment horizontal="center" vertical="center"/>
    </xf>
    <xf numFmtId="172" fontId="13" fillId="0" borderId="0" xfId="1" applyNumberFormat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10" fontId="52" fillId="0" borderId="0" xfId="2" applyNumberFormat="1" applyFont="1" applyFill="1" applyAlignment="1">
      <alignment horizontal="center" vertical="center" wrapText="1" readingOrder="2"/>
    </xf>
    <xf numFmtId="9" fontId="52" fillId="0" borderId="2" xfId="2" applyFont="1" applyFill="1" applyBorder="1" applyAlignment="1">
      <alignment horizontal="center" vertical="center" readingOrder="2"/>
    </xf>
    <xf numFmtId="10" fontId="52" fillId="0" borderId="2" xfId="2" applyNumberFormat="1" applyFont="1" applyFill="1" applyBorder="1" applyAlignment="1">
      <alignment horizontal="center" vertical="center" readingOrder="2"/>
    </xf>
    <xf numFmtId="3" fontId="53" fillId="0" borderId="2" xfId="2" applyNumberFormat="1" applyFont="1" applyFill="1" applyBorder="1" applyAlignment="1">
      <alignment horizontal="right" vertical="center" readingOrder="2"/>
    </xf>
    <xf numFmtId="164" fontId="41" fillId="0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4" fillId="0" borderId="0" xfId="0" applyFont="1" applyAlignment="1">
      <alignment vertical="center" wrapText="1" readingOrder="2"/>
    </xf>
    <xf numFmtId="0" fontId="4" fillId="0" borderId="0" xfId="0" applyFont="1" applyAlignment="1">
      <alignment horizontal="center" vertical="center" readingOrder="2"/>
    </xf>
    <xf numFmtId="37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1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7" fontId="30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8" fillId="0" borderId="1" xfId="0" applyFont="1" applyBorder="1"/>
    <xf numFmtId="0" fontId="16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 readingOrder="2"/>
    </xf>
    <xf numFmtId="0" fontId="18" fillId="0" borderId="0" xfId="0" applyFont="1" applyAlignment="1">
      <alignment horizontal="center"/>
    </xf>
    <xf numFmtId="37" fontId="11" fillId="0" borderId="0" xfId="0" applyNumberFormat="1" applyFont="1" applyAlignment="1">
      <alignment horizontal="right" vertical="center" wrapText="1"/>
    </xf>
    <xf numFmtId="164" fontId="18" fillId="0" borderId="0" xfId="0" applyNumberFormat="1" applyFont="1"/>
    <xf numFmtId="3" fontId="12" fillId="0" borderId="0" xfId="0" applyNumberFormat="1" applyFont="1"/>
    <xf numFmtId="3" fontId="24" fillId="0" borderId="10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8" fillId="0" borderId="0" xfId="0" applyNumberFormat="1" applyFont="1"/>
    <xf numFmtId="3" fontId="8" fillId="0" borderId="0" xfId="0" applyNumberFormat="1" applyFont="1"/>
    <xf numFmtId="3" fontId="13" fillId="0" borderId="0" xfId="0" applyNumberFormat="1" applyFont="1"/>
    <xf numFmtId="0" fontId="8" fillId="0" borderId="0" xfId="0" applyFont="1" applyAlignment="1">
      <alignment horizontal="center" vertical="center"/>
    </xf>
    <xf numFmtId="37" fontId="12" fillId="0" borderId="0" xfId="0" applyNumberFormat="1" applyFont="1"/>
    <xf numFmtId="37" fontId="8" fillId="0" borderId="0" xfId="0" applyNumberFormat="1" applyFont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7" fontId="50" fillId="0" borderId="0" xfId="0" quotePrefix="1" applyNumberFormat="1" applyFont="1" applyAlignment="1">
      <alignment horizontal="right" vertical="center" wrapText="1"/>
    </xf>
    <xf numFmtId="164" fontId="8" fillId="0" borderId="0" xfId="0" applyNumberFormat="1" applyFont="1"/>
    <xf numFmtId="37" fontId="11" fillId="0" borderId="0" xfId="0" quotePrefix="1" applyNumberFormat="1" applyFont="1" applyAlignment="1">
      <alignment horizontal="right" vertical="center" wrapText="1"/>
    </xf>
    <xf numFmtId="2" fontId="8" fillId="0" borderId="0" xfId="0" applyNumberFormat="1" applyFont="1" applyAlignment="1">
      <alignment vertical="center"/>
    </xf>
    <xf numFmtId="0" fontId="25" fillId="0" borderId="1" xfId="0" applyFont="1" applyBorder="1" applyAlignment="1">
      <alignment horizontal="right" vertical="center" wrapText="1" readingOrder="2"/>
    </xf>
    <xf numFmtId="0" fontId="25" fillId="0" borderId="0" xfId="0" applyFont="1" applyAlignment="1">
      <alignment vertical="center" wrapText="1" readingOrder="2"/>
    </xf>
    <xf numFmtId="0" fontId="25" fillId="0" borderId="0" xfId="0" applyFont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0" xfId="0" applyFont="1" applyAlignment="1">
      <alignment vertical="center" wrapText="1" readingOrder="2"/>
    </xf>
    <xf numFmtId="165" fontId="21" fillId="0" borderId="4" xfId="0" applyNumberFormat="1" applyFont="1" applyBorder="1" applyAlignment="1">
      <alignment horizontal="center" vertical="center" wrapText="1" readingOrder="2"/>
    </xf>
    <xf numFmtId="0" fontId="21" fillId="0" borderId="4" xfId="0" applyFont="1" applyBorder="1" applyAlignment="1">
      <alignment horizontal="center" vertical="center" wrapText="1" readingOrder="2"/>
    </xf>
    <xf numFmtId="37" fontId="6" fillId="0" borderId="0" xfId="0" quotePrefix="1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7" fontId="3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25" fillId="0" borderId="13" xfId="0" applyFont="1" applyBorder="1" applyAlignment="1">
      <alignment horizontal="center" vertical="center" wrapText="1" readingOrder="2"/>
    </xf>
    <xf numFmtId="37" fontId="28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6" fillId="0" borderId="0" xfId="0" applyFont="1"/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37" fontId="3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/>
    <xf numFmtId="3" fontId="12" fillId="0" borderId="0" xfId="0" applyNumberFormat="1" applyFont="1" applyFill="1"/>
    <xf numFmtId="3" fontId="11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11" fillId="0" borderId="0" xfId="0" quotePrefix="1" applyNumberFormat="1" applyFont="1" applyFill="1" applyAlignment="1">
      <alignment horizontal="right" vertical="center" wrapText="1"/>
    </xf>
    <xf numFmtId="164" fontId="14" fillId="0" borderId="0" xfId="0" applyNumberFormat="1" applyFont="1"/>
    <xf numFmtId="9" fontId="4" fillId="0" borderId="0" xfId="2" applyFont="1" applyFill="1" applyAlignment="1">
      <alignment vertical="center"/>
    </xf>
    <xf numFmtId="164" fontId="55" fillId="0" borderId="0" xfId="1" applyNumberFormat="1" applyFont="1" applyFill="1" applyAlignment="1">
      <alignment vertical="center"/>
    </xf>
    <xf numFmtId="164" fontId="56" fillId="0" borderId="0" xfId="1" applyNumberFormat="1" applyFont="1" applyFill="1" applyAlignment="1">
      <alignment vertical="center"/>
    </xf>
    <xf numFmtId="164" fontId="57" fillId="0" borderId="0" xfId="1" applyNumberFormat="1" applyFont="1" applyFill="1" applyBorder="1" applyAlignment="1">
      <alignment horizontal="center" vertical="center" readingOrder="2"/>
    </xf>
    <xf numFmtId="0" fontId="57" fillId="0" borderId="0" xfId="0" applyFont="1" applyAlignment="1">
      <alignment vertical="center" wrapText="1" readingOrder="2"/>
    </xf>
    <xf numFmtId="164" fontId="58" fillId="0" borderId="0" xfId="1" applyNumberFormat="1" applyFont="1" applyFill="1" applyBorder="1" applyAlignment="1">
      <alignment horizontal="center" vertical="center" readingOrder="2"/>
    </xf>
    <xf numFmtId="0" fontId="58" fillId="0" borderId="0" xfId="0" applyFont="1" applyAlignment="1">
      <alignment vertical="center" wrapText="1" readingOrder="2"/>
    </xf>
    <xf numFmtId="164" fontId="16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0" fontId="54" fillId="4" borderId="0" xfId="0" applyFont="1" applyFill="1" applyBorder="1" applyAlignment="1">
      <alignment horizontal="right" vertical="center"/>
    </xf>
    <xf numFmtId="0" fontId="54" fillId="5" borderId="0" xfId="0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vertical="center"/>
    </xf>
    <xf numFmtId="164" fontId="8" fillId="0" borderId="15" xfId="1" applyNumberFormat="1" applyFont="1" applyFill="1" applyBorder="1" applyAlignment="1">
      <alignment vertical="center"/>
    </xf>
    <xf numFmtId="164" fontId="8" fillId="0" borderId="9" xfId="1" applyNumberFormat="1" applyFont="1" applyFill="1" applyBorder="1" applyAlignment="1">
      <alignment vertical="center"/>
    </xf>
    <xf numFmtId="164" fontId="8" fillId="0" borderId="16" xfId="1" applyNumberFormat="1" applyFont="1" applyFill="1" applyBorder="1" applyAlignment="1">
      <alignment vertical="center"/>
    </xf>
    <xf numFmtId="164" fontId="8" fillId="0" borderId="17" xfId="1" applyNumberFormat="1" applyFont="1" applyFill="1" applyBorder="1" applyAlignment="1">
      <alignment vertical="center"/>
    </xf>
    <xf numFmtId="164" fontId="8" fillId="0" borderId="14" xfId="1" applyNumberFormat="1" applyFont="1" applyFill="1" applyBorder="1" applyAlignment="1">
      <alignment vertical="center"/>
    </xf>
    <xf numFmtId="164" fontId="8" fillId="0" borderId="18" xfId="1" applyNumberFormat="1" applyFont="1" applyFill="1" applyBorder="1" applyAlignment="1">
      <alignment vertical="center"/>
    </xf>
    <xf numFmtId="164" fontId="20" fillId="0" borderId="9" xfId="1" applyNumberFormat="1" applyFont="1" applyFill="1" applyBorder="1" applyAlignment="1">
      <alignment vertical="center"/>
    </xf>
    <xf numFmtId="164" fontId="20" fillId="0" borderId="16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165" fontId="8" fillId="0" borderId="14" xfId="1" applyNumberFormat="1" applyFont="1" applyFill="1" applyBorder="1"/>
    <xf numFmtId="164" fontId="20" fillId="0" borderId="14" xfId="1" applyNumberFormat="1" applyFont="1" applyFill="1" applyBorder="1" applyAlignment="1">
      <alignment vertical="center"/>
    </xf>
    <xf numFmtId="164" fontId="20" fillId="0" borderId="18" xfId="1" applyNumberFormat="1" applyFont="1" applyFill="1" applyBorder="1" applyAlignment="1">
      <alignment vertical="center"/>
    </xf>
    <xf numFmtId="164" fontId="13" fillId="0" borderId="9" xfId="1" applyNumberFormat="1" applyFont="1" applyFill="1" applyBorder="1" applyAlignment="1">
      <alignment vertical="center"/>
    </xf>
    <xf numFmtId="165" fontId="8" fillId="0" borderId="9" xfId="1" applyNumberFormat="1" applyFont="1" applyFill="1" applyBorder="1"/>
    <xf numFmtId="164" fontId="17" fillId="0" borderId="0" xfId="1" applyNumberFormat="1" applyFont="1" applyFill="1" applyAlignment="1">
      <alignment horizontal="right" vertical="center" wrapText="1" shrinkToFit="1" readingOrder="2"/>
    </xf>
    <xf numFmtId="173" fontId="4" fillId="0" borderId="0" xfId="1" applyNumberFormat="1" applyFont="1" applyFill="1" applyAlignment="1">
      <alignment vertical="center"/>
    </xf>
    <xf numFmtId="164" fontId="59" fillId="0" borderId="15" xfId="1" applyNumberFormat="1" applyFont="1" applyFill="1" applyBorder="1" applyAlignment="1">
      <alignment vertical="center"/>
    </xf>
    <xf numFmtId="164" fontId="59" fillId="0" borderId="9" xfId="1" applyNumberFormat="1" applyFont="1" applyFill="1" applyBorder="1" applyAlignment="1">
      <alignment vertical="center"/>
    </xf>
    <xf numFmtId="165" fontId="38" fillId="0" borderId="9" xfId="1" applyNumberFormat="1" applyFont="1" applyFill="1" applyBorder="1"/>
    <xf numFmtId="164" fontId="38" fillId="0" borderId="9" xfId="1" applyNumberFormat="1" applyFont="1" applyFill="1" applyBorder="1" applyAlignment="1">
      <alignment vertical="center"/>
    </xf>
    <xf numFmtId="164" fontId="59" fillId="0" borderId="16" xfId="1" applyNumberFormat="1" applyFont="1" applyFill="1" applyBorder="1" applyAlignment="1">
      <alignment vertical="center"/>
    </xf>
    <xf numFmtId="164" fontId="59" fillId="0" borderId="17" xfId="1" applyNumberFormat="1" applyFont="1" applyFill="1" applyBorder="1" applyAlignment="1">
      <alignment vertical="center"/>
    </xf>
    <xf numFmtId="164" fontId="59" fillId="0" borderId="14" xfId="1" applyNumberFormat="1" applyFont="1" applyFill="1" applyBorder="1" applyAlignment="1">
      <alignment vertical="center"/>
    </xf>
    <xf numFmtId="164" fontId="38" fillId="0" borderId="14" xfId="1" applyNumberFormat="1" applyFont="1" applyFill="1" applyBorder="1" applyAlignment="1">
      <alignment vertical="center"/>
    </xf>
    <xf numFmtId="164" fontId="59" fillId="0" borderId="18" xfId="1" applyNumberFormat="1" applyFont="1" applyFill="1" applyBorder="1" applyAlignment="1">
      <alignment vertical="center"/>
    </xf>
    <xf numFmtId="164" fontId="60" fillId="0" borderId="15" xfId="1" applyNumberFormat="1" applyFont="1" applyFill="1" applyBorder="1" applyAlignment="1">
      <alignment vertical="center"/>
    </xf>
    <xf numFmtId="164" fontId="60" fillId="0" borderId="9" xfId="1" applyNumberFormat="1" applyFont="1" applyFill="1" applyBorder="1" applyAlignment="1">
      <alignment vertical="center"/>
    </xf>
    <xf numFmtId="164" fontId="60" fillId="0" borderId="16" xfId="1" applyNumberFormat="1" applyFont="1" applyFill="1" applyBorder="1" applyAlignment="1">
      <alignment vertical="center"/>
    </xf>
    <xf numFmtId="164" fontId="60" fillId="0" borderId="17" xfId="1" applyNumberFormat="1" applyFont="1" applyFill="1" applyBorder="1" applyAlignment="1">
      <alignment vertical="center"/>
    </xf>
    <xf numFmtId="164" fontId="60" fillId="0" borderId="14" xfId="1" applyNumberFormat="1" applyFont="1" applyFill="1" applyBorder="1" applyAlignment="1">
      <alignment vertical="center"/>
    </xf>
    <xf numFmtId="164" fontId="61" fillId="0" borderId="14" xfId="1" applyNumberFormat="1" applyFont="1" applyFill="1" applyBorder="1" applyAlignment="1">
      <alignment vertical="center"/>
    </xf>
    <xf numFmtId="165" fontId="60" fillId="0" borderId="14" xfId="1" applyNumberFormat="1" applyFont="1" applyFill="1" applyBorder="1"/>
    <xf numFmtId="164" fontId="60" fillId="0" borderId="18" xfId="1" applyNumberFormat="1" applyFont="1" applyFill="1" applyBorder="1" applyAlignment="1">
      <alignment vertical="center"/>
    </xf>
    <xf numFmtId="164" fontId="60" fillId="0" borderId="0" xfId="0" applyNumberFormat="1" applyFont="1"/>
    <xf numFmtId="164" fontId="62" fillId="0" borderId="0" xfId="1" applyNumberFormat="1" applyFont="1" applyFill="1" applyAlignment="1">
      <alignment vertical="center"/>
    </xf>
    <xf numFmtId="3" fontId="14" fillId="0" borderId="0" xfId="0" applyNumberFormat="1" applyFont="1"/>
    <xf numFmtId="164" fontId="57" fillId="0" borderId="0" xfId="1" applyNumberFormat="1" applyFont="1" applyFill="1" applyAlignment="1">
      <alignment vertical="center"/>
    </xf>
    <xf numFmtId="164" fontId="59" fillId="0" borderId="0" xfId="1" applyNumberFormat="1" applyFont="1" applyFill="1" applyAlignment="1">
      <alignment vertical="center"/>
    </xf>
    <xf numFmtId="37" fontId="50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/>
    <xf numFmtId="164" fontId="63" fillId="0" borderId="0" xfId="1" applyNumberFormat="1" applyFont="1" applyFill="1" applyAlignment="1">
      <alignment vertical="center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7" fillId="0" borderId="0" xfId="0" applyFont="1"/>
    <xf numFmtId="0" fontId="18" fillId="0" borderId="0" xfId="0" applyFont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3" fillId="0" borderId="0" xfId="1" applyNumberFormat="1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62" fillId="6" borderId="0" xfId="1" applyNumberFormat="1" applyFont="1" applyFill="1" applyAlignment="1">
      <alignment vertical="center"/>
    </xf>
    <xf numFmtId="37" fontId="12" fillId="0" borderId="0" xfId="0" applyNumberFormat="1" applyFont="1" applyFill="1"/>
    <xf numFmtId="37" fontId="8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readingOrder="2"/>
    </xf>
    <xf numFmtId="164" fontId="10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10" fontId="35" fillId="0" borderId="8" xfId="2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64" fillId="0" borderId="0" xfId="1" applyNumberFormat="1" applyFont="1" applyFill="1" applyAlignment="1">
      <alignment vertical="center"/>
    </xf>
    <xf numFmtId="3" fontId="64" fillId="0" borderId="0" xfId="1" applyNumberFormat="1" applyFont="1" applyFill="1" applyAlignment="1">
      <alignment vertical="center"/>
    </xf>
    <xf numFmtId="164" fontId="64" fillId="0" borderId="0" xfId="1" applyNumberFormat="1" applyFont="1" applyFill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37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readingOrder="2"/>
    </xf>
    <xf numFmtId="164" fontId="10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7" fontId="48" fillId="0" borderId="9" xfId="0" applyNumberFormat="1" applyFont="1" applyFill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 wrapText="1" readingOrder="2"/>
    </xf>
    <xf numFmtId="164" fontId="8" fillId="0" borderId="0" xfId="1" applyNumberFormat="1" applyFont="1" applyFill="1" applyBorder="1" applyAlignment="1">
      <alignment vertical="center" wrapText="1"/>
    </xf>
    <xf numFmtId="164" fontId="65" fillId="0" borderId="0" xfId="1" applyNumberFormat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>
      <alignment horizontal="center" vertical="center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0" fontId="4" fillId="0" borderId="3" xfId="2" applyNumberFormat="1" applyFont="1" applyFill="1" applyBorder="1" applyAlignment="1">
      <alignment horizontal="center" vertical="center" wrapText="1" readingOrder="2"/>
    </xf>
    <xf numFmtId="10" fontId="4" fillId="0" borderId="1" xfId="2" applyNumberFormat="1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37" fontId="46" fillId="0" borderId="14" xfId="0" applyNumberFormat="1" applyFont="1" applyBorder="1" applyAlignment="1">
      <alignment horizontal="center" vertical="center"/>
    </xf>
    <xf numFmtId="0" fontId="47" fillId="0" borderId="11" xfId="0" applyFont="1" applyBorder="1"/>
    <xf numFmtId="0" fontId="43" fillId="0" borderId="0" xfId="0" applyFont="1" applyAlignment="1">
      <alignment horizontal="center"/>
    </xf>
    <xf numFmtId="37" fontId="46" fillId="0" borderId="0" xfId="0" applyNumberFormat="1" applyFont="1" applyAlignment="1">
      <alignment horizontal="right" vertical="center"/>
    </xf>
    <xf numFmtId="0" fontId="4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8" fillId="0" borderId="1" xfId="1" applyNumberFormat="1" applyFont="1" applyFill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wrapText="1" readingOrder="2"/>
    </xf>
    <xf numFmtId="165" fontId="21" fillId="0" borderId="3" xfId="1" applyNumberFormat="1" applyFont="1" applyFill="1" applyBorder="1" applyAlignment="1">
      <alignment horizontal="center" vertical="center" wrapText="1" readingOrder="2"/>
    </xf>
    <xf numFmtId="165" fontId="21" fillId="0" borderId="0" xfId="1" applyNumberFormat="1" applyFont="1" applyFill="1" applyBorder="1" applyAlignment="1">
      <alignment horizontal="center" vertical="center" wrapText="1" readingOrder="2"/>
    </xf>
    <xf numFmtId="0" fontId="21" fillId="0" borderId="3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 wrapText="1" readingOrder="2"/>
    </xf>
    <xf numFmtId="0" fontId="25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 readingOrder="2"/>
    </xf>
    <xf numFmtId="0" fontId="25" fillId="0" borderId="4" xfId="0" applyFont="1" applyBorder="1" applyAlignment="1">
      <alignment horizontal="center" vertical="center" wrapText="1" readingOrder="2"/>
    </xf>
    <xf numFmtId="164" fontId="16" fillId="0" borderId="4" xfId="1" applyNumberFormat="1" applyFont="1" applyFill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/>
    <xf numFmtId="3" fontId="20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right" vertical="center" readingOrder="2"/>
    </xf>
    <xf numFmtId="3" fontId="23" fillId="0" borderId="0" xfId="1" applyNumberFormat="1" applyFont="1" applyFill="1" applyAlignment="1">
      <alignment horizontal="right" vertical="center" readingOrder="2"/>
    </xf>
    <xf numFmtId="164" fontId="21" fillId="0" borderId="1" xfId="1" applyNumberFormat="1" applyFont="1" applyFill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51" fillId="0" borderId="1" xfId="1" applyNumberFormat="1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readingOrder="2"/>
    </xf>
    <xf numFmtId="165" fontId="23" fillId="0" borderId="0" xfId="1" applyNumberFormat="1" applyFont="1" applyFill="1" applyAlignment="1">
      <alignment horizontal="right" vertical="center" readingOrder="2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Fill="1" applyAlignment="1">
      <alignment vertical="center" wrapText="1" readingOrder="2"/>
    </xf>
    <xf numFmtId="164" fontId="18" fillId="0" borderId="2" xfId="1" applyNumberFormat="1" applyFont="1" applyFill="1" applyBorder="1" applyAlignment="1">
      <alignment vertical="center" readingOrder="2"/>
    </xf>
    <xf numFmtId="0" fontId="18" fillId="0" borderId="0" xfId="0" applyFont="1" applyFill="1"/>
    <xf numFmtId="164" fontId="18" fillId="0" borderId="2" xfId="1" applyNumberFormat="1" applyFont="1" applyFill="1" applyBorder="1" applyAlignment="1">
      <alignment horizontal="center" vertical="center" readingOrder="2"/>
    </xf>
  </cellXfs>
  <cellStyles count="6">
    <cellStyle name="Comma" xfId="1" builtinId="3"/>
    <cellStyle name="Comma 2" xfId="5" xr:uid="{F2B00D3C-5790-4550-A487-9FBEA97624C3}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592666</xdr:colOff>
      <xdr:row>36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B0250-C05D-41C5-A5C5-AFDE0A07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928167" y="0"/>
          <a:ext cx="6117166" cy="7799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und\sadaf\&#1670;&#1705;&#1740;&#1606;&#1711;%20&#1711;&#1586;&#1575;&#1585;&#1588;%20&#1662;&#1608;&#1585;&#1578;&#1601;&#1608;&#1740;%20&#1607;&#1575;\1403\12%20&#1575;&#1587;&#1601;&#1606;&#1583;\sCopy%20of%20&#1711;&#1586;&#1575;&#1585;&#1588;%20&#1662;&#1585;&#1578;&#1601;&#1608;&#1740;%20&#1605;&#1575;&#1607;&#1575;&#1606;&#1607;%20&#1589;&#1606;&#1583;&#1608;&#1602;%20&#1578;&#1590;&#1605;&#1740;&#1606;%20&#1605;&#1606;&#1578;&#1607;&#1740;%20&#1576;&#1607;%2030-12-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وکش"/>
      <sheetName val=" سهام"/>
      <sheetName val="اوراق"/>
      <sheetName val="تعدیل اوراق"/>
      <sheetName val="سپرده"/>
      <sheetName val="درآمدها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درآمد سود سهام"/>
      <sheetName val="سود اوراق بهادار"/>
      <sheetName val="سود سپرده بانکی"/>
      <sheetName val="درآمد ناشی ازفروش"/>
      <sheetName val="درآمد ناشی از تغییر قیمت  "/>
    </sheetNames>
    <sheetDataSet>
      <sheetData sheetId="0"/>
      <sheetData sheetId="1">
        <row r="3">
          <cell r="A3" t="str">
            <v>برای ماه منتهی به 1403/12/30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</row>
        <row r="7">
          <cell r="C7" t="str">
            <v>1403/11/30</v>
          </cell>
          <cell r="O7" t="str">
            <v>1403/12/30</v>
          </cell>
        </row>
      </sheetData>
      <sheetData sheetId="2">
        <row r="6">
          <cell r="M6" t="str">
            <v>1403/11/30</v>
          </cell>
          <cell r="Y6" t="str">
            <v>1403/12/30</v>
          </cell>
        </row>
        <row r="14">
          <cell r="AE14">
            <v>49591010000</v>
          </cell>
        </row>
      </sheetData>
      <sheetData sheetId="3"/>
      <sheetData sheetId="4"/>
      <sheetData sheetId="5">
        <row r="6">
          <cell r="J6">
            <v>185363536807</v>
          </cell>
        </row>
      </sheetData>
      <sheetData sheetId="6">
        <row r="7">
          <cell r="C7" t="str">
            <v>طی اسفند ماه</v>
          </cell>
          <cell r="M7" t="str">
            <v>از ابتدای سال مالی تا پایان اسفند ماه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A8" t="str">
            <v>پاسارگاد209.8100.15644767.1 -کوتاه مدت</v>
          </cell>
          <cell r="B8">
            <v>5756</v>
          </cell>
          <cell r="D8">
            <v>0</v>
          </cell>
          <cell r="F8">
            <v>5756</v>
          </cell>
          <cell r="H8">
            <v>253205</v>
          </cell>
          <cell r="J8">
            <v>0</v>
          </cell>
          <cell r="L8">
            <v>253205</v>
          </cell>
        </row>
        <row r="9">
          <cell r="A9" t="str">
            <v>کوتاه مدت خاورمیانه</v>
          </cell>
          <cell r="B9">
            <v>2648268</v>
          </cell>
          <cell r="D9">
            <v>0</v>
          </cell>
          <cell r="F9">
            <v>2648268</v>
          </cell>
          <cell r="H9">
            <v>104186065</v>
          </cell>
          <cell r="J9">
            <v>0</v>
          </cell>
          <cell r="L9">
            <v>104186065</v>
          </cell>
        </row>
        <row r="10">
          <cell r="A10" t="str">
            <v>صادرات کوتاه مدت 0219731449008</v>
          </cell>
          <cell r="B10">
            <v>2426318</v>
          </cell>
          <cell r="D10">
            <v>0</v>
          </cell>
          <cell r="F10">
            <v>2426318</v>
          </cell>
          <cell r="H10">
            <v>2433900</v>
          </cell>
          <cell r="J10">
            <v>0</v>
          </cell>
          <cell r="L10">
            <v>2433900</v>
          </cell>
        </row>
        <row r="11">
          <cell r="A11" t="str">
            <v>پاسارگاد 209.307.15644767.2</v>
          </cell>
          <cell r="B11">
            <v>1873983</v>
          </cell>
          <cell r="D11">
            <v>0</v>
          </cell>
          <cell r="F11">
            <v>1873983</v>
          </cell>
          <cell r="H11">
            <v>24361651</v>
          </cell>
          <cell r="J11">
            <v>0</v>
          </cell>
          <cell r="L11">
            <v>24361651</v>
          </cell>
        </row>
        <row r="12">
          <cell r="A12" t="str">
            <v>صادرات بلند مدت 0407535977008</v>
          </cell>
          <cell r="B12">
            <v>550819682</v>
          </cell>
          <cell r="D12">
            <v>0</v>
          </cell>
          <cell r="F12">
            <v>550819682</v>
          </cell>
          <cell r="H12">
            <v>2098360654</v>
          </cell>
          <cell r="J12">
            <v>0</v>
          </cell>
          <cell r="L12">
            <v>2098360654</v>
          </cell>
        </row>
        <row r="13">
          <cell r="A13" t="str">
            <v>دی بلند مدت 0406530895001</v>
          </cell>
          <cell r="B13">
            <v>159007560</v>
          </cell>
          <cell r="D13">
            <v>-2874558</v>
          </cell>
          <cell r="F13">
            <v>156133002</v>
          </cell>
          <cell r="H13">
            <v>159007560</v>
          </cell>
          <cell r="J13">
            <v>-2874558</v>
          </cell>
          <cell r="L13">
            <v>156133002</v>
          </cell>
        </row>
        <row r="14">
          <cell r="B14">
            <v>716781567</v>
          </cell>
          <cell r="D14">
            <v>-2874558</v>
          </cell>
          <cell r="F14">
            <v>713907009</v>
          </cell>
          <cell r="H14">
            <v>2388603035</v>
          </cell>
          <cell r="J14">
            <v>-2874558</v>
          </cell>
          <cell r="L14">
            <v>2385728477</v>
          </cell>
        </row>
        <row r="18">
          <cell r="B18">
            <v>716781567</v>
          </cell>
          <cell r="D18">
            <v>2874558</v>
          </cell>
          <cell r="F18">
            <v>719656125</v>
          </cell>
          <cell r="H18">
            <v>2388603035</v>
          </cell>
          <cell r="J18">
            <v>2844423</v>
          </cell>
          <cell r="L18">
            <v>2391447458</v>
          </cell>
        </row>
        <row r="19">
          <cell r="B19">
            <v>0</v>
          </cell>
          <cell r="F19">
            <v>5749116</v>
          </cell>
          <cell r="J19">
            <v>0</v>
          </cell>
          <cell r="L19">
            <v>5718981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view="pageBreakPreview" zoomScale="90" zoomScaleNormal="100" zoomScaleSheetLayoutView="90" workbookViewId="0">
      <selection activeCell="M18" sqref="M18"/>
    </sheetView>
  </sheetViews>
  <sheetFormatPr defaultColWidth="9.140625" defaultRowHeight="17.25"/>
  <cols>
    <col min="1" max="16384" width="9.140625" style="1"/>
  </cols>
  <sheetData>
    <row r="18" spans="1:13">
      <c r="M18" s="1" t="s">
        <v>54</v>
      </c>
    </row>
    <row r="24" spans="1:13" ht="15" customHeight="1">
      <c r="A24" s="310" t="s">
        <v>68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"/>
      <c r="L24" s="3"/>
    </row>
    <row r="25" spans="1:13" ht="15" customHeight="1">
      <c r="A25" s="310"/>
      <c r="B25" s="310"/>
      <c r="C25" s="310"/>
      <c r="D25" s="310"/>
      <c r="E25" s="310"/>
      <c r="F25" s="310"/>
      <c r="G25" s="310"/>
      <c r="H25" s="310"/>
      <c r="I25" s="310"/>
      <c r="J25" s="310"/>
      <c r="K25" s="3"/>
      <c r="L25" s="3"/>
    </row>
    <row r="26" spans="1:13" ht="15" customHeight="1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"/>
      <c r="L26" s="3"/>
    </row>
    <row r="27" spans="1:13">
      <c r="C27" s="1" t="s">
        <v>54</v>
      </c>
    </row>
    <row r="28" spans="1:13" ht="15" customHeight="1">
      <c r="A28" s="310" t="s">
        <v>148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</row>
    <row r="29" spans="1:13" ht="15" customHeight="1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</row>
    <row r="30" spans="1:13" ht="15" customHeight="1">
      <c r="A30" s="310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</row>
    <row r="31" spans="1:13" ht="15" customHeight="1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16"/>
  <sheetViews>
    <sheetView rightToLeft="1" view="pageBreakPreview" zoomScaleNormal="100" zoomScaleSheetLayoutView="100" workbookViewId="0">
      <selection activeCell="C10" sqref="C10:E10"/>
    </sheetView>
  </sheetViews>
  <sheetFormatPr defaultColWidth="9.140625" defaultRowHeight="18"/>
  <cols>
    <col min="1" max="1" width="32.42578125" style="54" customWidth="1"/>
    <col min="2" max="2" width="1.42578125" style="54" customWidth="1"/>
    <col min="3" max="3" width="17.7109375" style="54" bestFit="1" customWidth="1"/>
    <col min="4" max="4" width="0.85546875" style="54" customWidth="1"/>
    <col min="5" max="5" width="18.140625" style="54" customWidth="1"/>
    <col min="6" max="6" width="9.85546875" style="54" bestFit="1" customWidth="1"/>
    <col min="7" max="7" width="11.28515625" style="54" bestFit="1" customWidth="1"/>
    <col min="8" max="16384" width="9.140625" style="54"/>
  </cols>
  <sheetData>
    <row r="1" spans="1:7" s="197" customFormat="1" ht="18.75">
      <c r="A1" s="342" t="s">
        <v>83</v>
      </c>
      <c r="B1" s="342"/>
      <c r="C1" s="342"/>
      <c r="D1" s="342"/>
      <c r="E1" s="342"/>
    </row>
    <row r="2" spans="1:7" s="197" customFormat="1" ht="18.75">
      <c r="A2" s="342" t="s">
        <v>52</v>
      </c>
      <c r="B2" s="342"/>
      <c r="C2" s="342"/>
      <c r="D2" s="342"/>
      <c r="E2" s="342"/>
    </row>
    <row r="3" spans="1:7" s="197" customFormat="1" ht="18.75">
      <c r="A3" s="342" t="str">
        <f>درآمدها!A3</f>
        <v>برای ماه منتهی به 1403/12/30</v>
      </c>
      <c r="B3" s="342"/>
      <c r="C3" s="342"/>
      <c r="D3" s="342"/>
      <c r="E3" s="342"/>
    </row>
    <row r="4" spans="1:7" ht="18.75">
      <c r="A4" s="343" t="s">
        <v>28</v>
      </c>
      <c r="B4" s="343"/>
      <c r="C4" s="343"/>
      <c r="D4" s="343"/>
      <c r="E4" s="343"/>
    </row>
    <row r="5" spans="1:7" ht="49.5" customHeight="1" thickBot="1">
      <c r="A5" s="175"/>
      <c r="B5" s="176"/>
      <c r="C5" s="178" t="str">
        <f>'درآمد سرمایه گذاری در سهام '!C7</f>
        <v>طی اسفند ماه</v>
      </c>
      <c r="D5" s="154"/>
      <c r="E5" s="178" t="str">
        <f>'درآمد سرمایه گذاری در سهام '!M7</f>
        <v>از ابتدای سال مالی تا پایان اسفند ماه</v>
      </c>
    </row>
    <row r="6" spans="1:7" ht="16.5" customHeight="1">
      <c r="A6" s="382"/>
      <c r="B6" s="383"/>
      <c r="C6" s="378" t="s">
        <v>6</v>
      </c>
      <c r="D6" s="177"/>
      <c r="E6" s="378" t="s">
        <v>6</v>
      </c>
    </row>
    <row r="7" spans="1:7" ht="18.75" thickBot="1">
      <c r="A7" s="383"/>
      <c r="B7" s="383"/>
      <c r="C7" s="384"/>
      <c r="D7" s="179"/>
      <c r="E7" s="384"/>
    </row>
    <row r="8" spans="1:7">
      <c r="A8" s="199" t="s">
        <v>29</v>
      </c>
      <c r="B8" s="199"/>
      <c r="C8" s="11">
        <v>0</v>
      </c>
      <c r="D8" s="11"/>
      <c r="E8" s="11">
        <v>54327507</v>
      </c>
    </row>
    <row r="9" spans="1:7">
      <c r="A9" s="154" t="s">
        <v>138</v>
      </c>
      <c r="B9" s="154"/>
      <c r="C9" s="11">
        <v>1642761</v>
      </c>
      <c r="D9" s="11"/>
      <c r="E9" s="11">
        <v>5351667</v>
      </c>
      <c r="F9" s="158"/>
      <c r="G9" s="158"/>
    </row>
    <row r="10" spans="1:7" ht="18.75" thickBot="1">
      <c r="A10" s="198" t="s">
        <v>2</v>
      </c>
      <c r="B10" s="154"/>
      <c r="C10" s="305">
        <f>C8+C9</f>
        <v>1642761</v>
      </c>
      <c r="D10" s="11"/>
      <c r="E10" s="305">
        <f>SUM(E8:E9)</f>
        <v>59679174</v>
      </c>
    </row>
    <row r="11" spans="1:7" ht="18.75" thickTop="1">
      <c r="A11" s="154"/>
      <c r="D11" s="11"/>
    </row>
    <row r="12" spans="1:7">
      <c r="C12" s="53"/>
      <c r="E12" s="158"/>
    </row>
    <row r="14" spans="1:7">
      <c r="C14" s="163"/>
      <c r="E14" s="163"/>
    </row>
    <row r="15" spans="1:7">
      <c r="C15" s="158"/>
      <c r="E15" s="163"/>
    </row>
    <row r="16" spans="1:7">
      <c r="E16" s="15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8"/>
  <sheetViews>
    <sheetView rightToLeft="1" view="pageBreakPreview" zoomScaleNormal="100" zoomScaleSheetLayoutView="100" workbookViewId="0">
      <selection activeCell="S13" sqref="I13:S19"/>
    </sheetView>
  </sheetViews>
  <sheetFormatPr defaultColWidth="9.140625" defaultRowHeight="17.25"/>
  <cols>
    <col min="1" max="1" width="30.5703125" style="159" bestFit="1" customWidth="1"/>
    <col min="2" max="2" width="0.5703125" style="159" customWidth="1"/>
    <col min="3" max="3" width="15" style="159" customWidth="1"/>
    <col min="4" max="4" width="0.85546875" style="159" customWidth="1"/>
    <col min="5" max="5" width="15.28515625" style="159" bestFit="1" customWidth="1"/>
    <col min="6" max="6" width="1.140625" style="159" customWidth="1"/>
    <col min="7" max="7" width="9.42578125" style="159" bestFit="1" customWidth="1"/>
    <col min="8" max="8" width="0.5703125" style="159" customWidth="1"/>
    <col min="9" max="9" width="11.140625" style="159" customWidth="1"/>
    <col min="10" max="10" width="1" style="159" customWidth="1"/>
    <col min="11" max="11" width="15.28515625" style="159" customWidth="1"/>
    <col min="12" max="12" width="1.140625" style="159" customWidth="1"/>
    <col min="13" max="13" width="12.85546875" style="159" customWidth="1"/>
    <col min="14" max="14" width="1" style="159" customWidth="1"/>
    <col min="15" max="15" width="12.7109375" style="159" customWidth="1"/>
    <col min="16" max="16" width="1.140625" style="159" customWidth="1"/>
    <col min="17" max="17" width="16" style="159" bestFit="1" customWidth="1"/>
    <col min="18" max="18" width="1.140625" style="159" customWidth="1"/>
    <col min="19" max="19" width="14.140625" style="159" customWidth="1"/>
    <col min="20" max="20" width="9.5703125" style="159" bestFit="1" customWidth="1"/>
    <col min="21" max="16384" width="9.140625" style="159"/>
  </cols>
  <sheetData>
    <row r="1" spans="1:19" ht="22.5">
      <c r="A1" s="389" t="s">
        <v>83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</row>
    <row r="2" spans="1:19" ht="22.5">
      <c r="A2" s="389" t="s">
        <v>52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</row>
    <row r="3" spans="1:19" ht="22.5">
      <c r="A3" s="389" t="str">
        <f>درآمدها!A3</f>
        <v>برای ماه منتهی به 1403/12/30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</row>
    <row r="4" spans="1:19" ht="22.5">
      <c r="A4" s="390" t="s">
        <v>180</v>
      </c>
      <c r="B4" s="390"/>
      <c r="C4" s="390"/>
      <c r="D4" s="390"/>
      <c r="E4" s="390"/>
      <c r="F4" s="390"/>
      <c r="G4" s="390"/>
      <c r="H4" s="390"/>
      <c r="I4" s="391"/>
      <c r="J4" s="391"/>
      <c r="K4" s="391"/>
      <c r="L4" s="391"/>
      <c r="M4" s="391"/>
      <c r="N4" s="391"/>
      <c r="O4" s="391"/>
      <c r="P4" s="391"/>
      <c r="Q4" s="390"/>
      <c r="R4" s="390"/>
      <c r="S4" s="390"/>
    </row>
    <row r="6" spans="1:19" ht="25.5" customHeight="1">
      <c r="C6" s="387" t="s">
        <v>70</v>
      </c>
      <c r="D6" s="388"/>
      <c r="E6" s="388"/>
      <c r="F6" s="388"/>
      <c r="G6" s="388"/>
      <c r="I6" s="387" t="s">
        <v>71</v>
      </c>
      <c r="J6" s="388"/>
      <c r="K6" s="388"/>
      <c r="L6" s="388"/>
      <c r="M6" s="388"/>
      <c r="O6" s="387" t="str">
        <f>'درآمد سرمایه گذاری در سهام '!M7</f>
        <v>از ابتدای سال مالی تا پایان اسفند ماه</v>
      </c>
      <c r="P6" s="388"/>
      <c r="Q6" s="388"/>
      <c r="R6" s="388"/>
      <c r="S6" s="388"/>
    </row>
    <row r="7" spans="1:19" ht="56.25">
      <c r="A7" s="160" t="s">
        <v>72</v>
      </c>
      <c r="C7" s="161" t="s">
        <v>73</v>
      </c>
      <c r="E7" s="161" t="s">
        <v>74</v>
      </c>
      <c r="G7" s="161" t="s">
        <v>75</v>
      </c>
      <c r="I7" s="161" t="s">
        <v>76</v>
      </c>
      <c r="K7" s="161" t="s">
        <v>77</v>
      </c>
      <c r="M7" s="161" t="s">
        <v>78</v>
      </c>
      <c r="O7" s="161" t="s">
        <v>76</v>
      </c>
      <c r="Q7" s="161" t="s">
        <v>77</v>
      </c>
      <c r="S7" s="161" t="s">
        <v>78</v>
      </c>
    </row>
    <row r="8" spans="1:19" ht="18">
      <c r="A8" s="117" t="s">
        <v>107</v>
      </c>
      <c r="B8" s="117"/>
      <c r="C8" s="117" t="s">
        <v>132</v>
      </c>
      <c r="D8" s="117"/>
      <c r="E8" s="11">
        <v>1450722</v>
      </c>
      <c r="F8" s="117"/>
      <c r="G8" s="11">
        <v>150</v>
      </c>
      <c r="H8" s="117"/>
      <c r="I8" s="11">
        <v>0</v>
      </c>
      <c r="J8" s="117"/>
      <c r="K8" s="11">
        <v>0</v>
      </c>
      <c r="L8" s="117"/>
      <c r="M8" s="11">
        <f>I8+K8</f>
        <v>0</v>
      </c>
      <c r="N8" s="117"/>
      <c r="O8" s="11">
        <v>217608300</v>
      </c>
      <c r="P8" s="11"/>
      <c r="Q8" s="11">
        <v>0</v>
      </c>
      <c r="R8" s="11"/>
      <c r="S8" s="11">
        <f>O8+Q8</f>
        <v>217608300</v>
      </c>
    </row>
    <row r="9" spans="1:19" ht="18">
      <c r="A9" s="117" t="s">
        <v>133</v>
      </c>
      <c r="B9" s="117"/>
      <c r="C9" s="117" t="s">
        <v>135</v>
      </c>
      <c r="D9" s="117"/>
      <c r="E9" s="11">
        <v>1000000</v>
      </c>
      <c r="F9" s="117"/>
      <c r="G9" s="11">
        <v>323</v>
      </c>
      <c r="H9" s="117"/>
      <c r="I9" s="11">
        <v>0</v>
      </c>
      <c r="J9" s="117"/>
      <c r="K9" s="11">
        <v>0</v>
      </c>
      <c r="L9" s="117"/>
      <c r="M9" s="11">
        <f>I9+K9</f>
        <v>0</v>
      </c>
      <c r="N9" s="117"/>
      <c r="O9" s="11">
        <v>323000000</v>
      </c>
      <c r="P9" s="11"/>
      <c r="Q9" s="11">
        <v>0</v>
      </c>
      <c r="R9" s="11"/>
      <c r="S9" s="11">
        <f>O9+Q9</f>
        <v>323000000</v>
      </c>
    </row>
    <row r="10" spans="1:19" ht="18">
      <c r="A10" s="117" t="s">
        <v>95</v>
      </c>
      <c r="B10" s="117"/>
      <c r="C10" s="117" t="s">
        <v>144</v>
      </c>
      <c r="D10" s="117"/>
      <c r="E10" s="11">
        <v>23000</v>
      </c>
      <c r="F10" s="117"/>
      <c r="G10" s="11">
        <v>5000</v>
      </c>
      <c r="H10" s="117"/>
      <c r="I10" s="11">
        <v>0</v>
      </c>
      <c r="J10" s="117"/>
      <c r="K10" s="11">
        <v>0</v>
      </c>
      <c r="L10" s="117"/>
      <c r="M10" s="11">
        <f>I10+K10</f>
        <v>0</v>
      </c>
      <c r="N10" s="117"/>
      <c r="O10" s="11">
        <v>115000000</v>
      </c>
      <c r="P10" s="11"/>
      <c r="Q10" s="11">
        <v>-5404700</v>
      </c>
      <c r="R10" s="11"/>
      <c r="S10" s="11">
        <f>O10+Q10</f>
        <v>109595300</v>
      </c>
    </row>
    <row r="11" spans="1:19" ht="18.75" thickBot="1">
      <c r="A11" s="162" t="s">
        <v>79</v>
      </c>
      <c r="C11" s="209"/>
      <c r="D11" s="209"/>
      <c r="E11" s="209"/>
      <c r="F11" s="209"/>
      <c r="G11" s="22"/>
      <c r="H11" s="209"/>
      <c r="I11" s="305">
        <f>SUM(I8:I10)</f>
        <v>0</v>
      </c>
      <c r="J11" s="117"/>
      <c r="K11" s="305">
        <f>SUM(K8:K10)</f>
        <v>0</v>
      </c>
      <c r="L11" s="210"/>
      <c r="M11" s="305">
        <f>SUM(M8:M10)</f>
        <v>0</v>
      </c>
      <c r="N11" s="210"/>
      <c r="O11" s="305">
        <f>SUM(O8:O10)</f>
        <v>655608300</v>
      </c>
      <c r="P11" s="210"/>
      <c r="Q11" s="305">
        <f>SUM(Q8:Q10)</f>
        <v>-5404700</v>
      </c>
      <c r="R11" s="210"/>
      <c r="S11" s="305">
        <f>SUM(S8:S10)</f>
        <v>650203600</v>
      </c>
    </row>
    <row r="12" spans="1:19" s="11" customFormat="1" ht="18.75" thickTop="1"/>
    <row r="13" spans="1:19" s="11" customFormat="1" ht="18">
      <c r="S13" s="265"/>
    </row>
    <row r="14" spans="1:19" s="11" customFormat="1" ht="18">
      <c r="E14" s="22"/>
      <c r="S14" s="265"/>
    </row>
    <row r="15" spans="1:19" s="11" customFormat="1" ht="18">
      <c r="E15" s="226"/>
    </row>
    <row r="16" spans="1:19" s="11" customFormat="1" ht="18">
      <c r="E16" s="227"/>
    </row>
    <row r="17" spans="5:5" s="11" customFormat="1" ht="18">
      <c r="E17" s="226"/>
    </row>
    <row r="18" spans="5:5" s="11" customFormat="1" ht="18">
      <c r="E18" s="22"/>
    </row>
  </sheetData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A32"/>
  <sheetViews>
    <sheetView rightToLeft="1" view="pageBreakPreview" zoomScale="80" zoomScaleNormal="100" zoomScaleSheetLayoutView="80" workbookViewId="0">
      <selection activeCell="H9" sqref="H9:R9"/>
    </sheetView>
  </sheetViews>
  <sheetFormatPr defaultColWidth="9.140625" defaultRowHeight="21.75"/>
  <cols>
    <col min="1" max="1" width="50.85546875" style="54" customWidth="1"/>
    <col min="2" max="2" width="15.5703125" style="54" bestFit="1" customWidth="1"/>
    <col min="3" max="3" width="0.85546875" style="54" customWidth="1"/>
    <col min="4" max="4" width="14" style="54" bestFit="1" customWidth="1"/>
    <col min="5" max="5" width="1.28515625" style="54" customWidth="1"/>
    <col min="6" max="6" width="12.42578125" style="54" customWidth="1"/>
    <col min="7" max="7" width="1" style="54" customWidth="1"/>
    <col min="8" max="8" width="25" style="21" bestFit="1" customWidth="1"/>
    <col min="9" max="9" width="0.85546875" style="21" customWidth="1"/>
    <col min="10" max="10" width="25" style="21" bestFit="1" customWidth="1"/>
    <col min="11" max="11" width="0.7109375" style="21" customWidth="1"/>
    <col min="12" max="12" width="23.140625" style="21" bestFit="1" customWidth="1"/>
    <col min="13" max="13" width="0.7109375" style="21" customWidth="1"/>
    <col min="14" max="14" width="23.140625" style="21" bestFit="1" customWidth="1"/>
    <col min="15" max="15" width="0.5703125" style="21" customWidth="1"/>
    <col min="16" max="16" width="17" style="21" bestFit="1" customWidth="1"/>
    <col min="17" max="17" width="0.5703125" style="21" customWidth="1"/>
    <col min="18" max="18" width="23.140625" style="21" bestFit="1" customWidth="1"/>
    <col min="19" max="19" width="14.28515625" style="111" bestFit="1" customWidth="1"/>
    <col min="20" max="20" width="15.85546875" style="111" bestFit="1" customWidth="1"/>
    <col min="21" max="21" width="11.28515625" style="111" bestFit="1" customWidth="1"/>
    <col min="22" max="22" width="14.42578125" style="111" bestFit="1" customWidth="1"/>
    <col min="23" max="27" width="9.140625" style="111"/>
    <col min="28" max="16384" width="9.140625" style="54"/>
  </cols>
  <sheetData>
    <row r="1" spans="1:27" ht="24.75">
      <c r="A1" s="326" t="s">
        <v>83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27" ht="24.75">
      <c r="A2" s="326" t="s">
        <v>52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</row>
    <row r="3" spans="1:27" ht="24.75">
      <c r="A3" s="326" t="str">
        <f>درآمدها!A3</f>
        <v>برای ماه منتهی به 1403/12/30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</row>
    <row r="4" spans="1:27" ht="24.7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7" ht="24.75" customHeight="1">
      <c r="A5" s="327" t="s">
        <v>182</v>
      </c>
      <c r="B5" s="327"/>
      <c r="C5" s="327"/>
      <c r="D5" s="327"/>
      <c r="E5" s="327"/>
      <c r="F5" s="327"/>
      <c r="G5" s="327"/>
      <c r="H5" s="327"/>
      <c r="I5" s="18"/>
      <c r="J5" s="19"/>
      <c r="K5" s="19"/>
      <c r="L5" s="19"/>
      <c r="M5" s="19"/>
      <c r="N5" s="19"/>
      <c r="O5" s="19"/>
      <c r="P5" s="19"/>
      <c r="Q5" s="19"/>
      <c r="R5" s="19"/>
    </row>
    <row r="6" spans="1:27" ht="46.5" customHeight="1" thickBot="1">
      <c r="A6" s="61"/>
      <c r="B6" s="120"/>
      <c r="C6" s="120"/>
      <c r="D6" s="120"/>
      <c r="E6" s="120"/>
      <c r="F6" s="120"/>
      <c r="G6" s="121"/>
      <c r="H6" s="392" t="str">
        <f>'درآمد سرمایه گذاری در سهام '!C7</f>
        <v>طی اسفند ماه</v>
      </c>
      <c r="I6" s="392"/>
      <c r="J6" s="392"/>
      <c r="K6" s="392"/>
      <c r="L6" s="392"/>
      <c r="M6" s="19"/>
      <c r="N6" s="392" t="str">
        <f>'درآمد سرمایه گذاری در سهام '!M7</f>
        <v>از ابتدای سال مالی تا پایان اسفند ماه</v>
      </c>
      <c r="O6" s="392"/>
      <c r="P6" s="392"/>
      <c r="Q6" s="392"/>
      <c r="R6" s="392"/>
    </row>
    <row r="7" spans="1:27" ht="46.5" customHeight="1" thickBot="1">
      <c r="A7" s="63" t="s">
        <v>33</v>
      </c>
      <c r="B7" s="64" t="s">
        <v>36</v>
      </c>
      <c r="C7" s="121"/>
      <c r="D7" s="64" t="s">
        <v>20</v>
      </c>
      <c r="E7" s="121"/>
      <c r="F7" s="64" t="s">
        <v>124</v>
      </c>
      <c r="G7" s="62"/>
      <c r="H7" s="20" t="s">
        <v>53</v>
      </c>
      <c r="I7" s="110"/>
      <c r="J7" s="20" t="s">
        <v>35</v>
      </c>
      <c r="K7" s="110"/>
      <c r="L7" s="20" t="s">
        <v>37</v>
      </c>
      <c r="M7" s="19"/>
      <c r="N7" s="20" t="s">
        <v>53</v>
      </c>
      <c r="O7" s="110"/>
      <c r="P7" s="20" t="s">
        <v>35</v>
      </c>
      <c r="Q7" s="110"/>
      <c r="R7" s="20" t="s">
        <v>37</v>
      </c>
      <c r="S7" s="112"/>
      <c r="T7" s="113"/>
      <c r="U7" s="114"/>
    </row>
    <row r="8" spans="1:27" s="55" customFormat="1" ht="46.5" customHeight="1">
      <c r="A8" s="69" t="s">
        <v>154</v>
      </c>
      <c r="B8" s="11" t="s">
        <v>176</v>
      </c>
      <c r="C8" s="121"/>
      <c r="D8" s="11" t="s">
        <v>156</v>
      </c>
      <c r="E8" s="62"/>
      <c r="F8" s="11" t="s">
        <v>177</v>
      </c>
      <c r="G8" s="62"/>
      <c r="H8" s="11">
        <v>404568132</v>
      </c>
      <c r="I8" s="31"/>
      <c r="J8" s="31">
        <v>0</v>
      </c>
      <c r="K8" s="31"/>
      <c r="L8" s="31">
        <f>H8+J8</f>
        <v>404568132</v>
      </c>
      <c r="M8" s="31"/>
      <c r="N8" s="31">
        <v>404568132</v>
      </c>
      <c r="O8" s="31"/>
      <c r="P8" s="31">
        <v>0</v>
      </c>
      <c r="Q8" s="31"/>
      <c r="R8" s="31">
        <f>N8+P8</f>
        <v>404568132</v>
      </c>
      <c r="S8" s="111"/>
      <c r="T8" s="115"/>
      <c r="U8" s="111"/>
      <c r="V8" s="111"/>
      <c r="W8" s="111"/>
      <c r="X8" s="111"/>
      <c r="Y8" s="111"/>
      <c r="Z8" s="111"/>
      <c r="AA8" s="111"/>
    </row>
    <row r="9" spans="1:27" ht="46.5" customHeight="1" thickBot="1">
      <c r="A9" s="69"/>
      <c r="B9" s="31"/>
      <c r="C9" s="121"/>
      <c r="D9" s="122"/>
      <c r="E9" s="62"/>
      <c r="F9" s="123"/>
      <c r="G9" s="62"/>
      <c r="H9" s="305">
        <f>SUM(H8:H8)</f>
        <v>404568132</v>
      </c>
      <c r="I9" s="306"/>
      <c r="J9" s="71">
        <f>SUM(J8:J8)</f>
        <v>0</v>
      </c>
      <c r="K9" s="306"/>
      <c r="L9" s="71">
        <f>SUM(L8:L8)</f>
        <v>404568132</v>
      </c>
      <c r="M9" s="306"/>
      <c r="N9" s="71">
        <f>SUM(N8:N8)</f>
        <v>404568132</v>
      </c>
      <c r="O9" s="306"/>
      <c r="P9" s="71">
        <f>SUM(P8:P8)</f>
        <v>0</v>
      </c>
      <c r="Q9" s="307" t="e">
        <f>SUM(#REF!)</f>
        <v>#REF!</v>
      </c>
      <c r="R9" s="71">
        <f>SUM(R8:R8)</f>
        <v>404568132</v>
      </c>
    </row>
    <row r="10" spans="1:27" ht="47.45" customHeight="1" thickTop="1">
      <c r="B10" s="31"/>
      <c r="C10" s="121"/>
      <c r="D10" s="122"/>
      <c r="E10" s="62"/>
      <c r="F10" s="123"/>
      <c r="G10" s="62"/>
      <c r="I10" s="55"/>
      <c r="K10" s="55"/>
      <c r="M10" s="55"/>
      <c r="O10" s="55"/>
    </row>
    <row r="11" spans="1:27" ht="24">
      <c r="B11" s="62"/>
      <c r="C11" s="62"/>
      <c r="D11" s="62"/>
      <c r="E11" s="62"/>
      <c r="F11" s="62"/>
      <c r="I11" s="55"/>
      <c r="K11" s="55"/>
      <c r="M11" s="55"/>
      <c r="O11" s="55"/>
    </row>
    <row r="12" spans="1:27">
      <c r="H12" s="53"/>
      <c r="I12" s="55"/>
      <c r="K12" s="55"/>
      <c r="M12" s="55"/>
    </row>
    <row r="13" spans="1:27" s="1" customFormat="1" ht="24">
      <c r="B13" s="54"/>
      <c r="C13" s="54"/>
      <c r="D13" s="54"/>
      <c r="E13" s="54"/>
      <c r="F13" s="54"/>
      <c r="G13" s="62"/>
      <c r="H13" s="59"/>
      <c r="J13" s="60"/>
      <c r="L13" s="22"/>
      <c r="N13" s="23"/>
      <c r="P13" s="59"/>
      <c r="R13" s="11"/>
      <c r="S13" s="111"/>
      <c r="T13" s="111"/>
      <c r="U13" s="111"/>
      <c r="V13" s="111"/>
      <c r="W13" s="111"/>
      <c r="X13" s="111"/>
      <c r="Y13" s="111"/>
      <c r="Z13" s="111"/>
      <c r="AA13" s="111"/>
    </row>
    <row r="14" spans="1:27" s="1" customFormat="1" ht="24">
      <c r="B14" s="62"/>
      <c r="C14" s="62"/>
      <c r="D14" s="62"/>
      <c r="E14" s="62"/>
      <c r="F14" s="62"/>
      <c r="G14" s="62"/>
      <c r="H14" s="24"/>
      <c r="I14" s="58"/>
      <c r="J14" s="58"/>
      <c r="L14" s="22"/>
      <c r="N14" s="24"/>
      <c r="P14" s="58"/>
      <c r="R14" s="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27" ht="24">
      <c r="B15" s="62"/>
      <c r="C15" s="62"/>
      <c r="D15" s="62"/>
      <c r="E15" s="62"/>
      <c r="F15" s="62"/>
      <c r="G15" s="62"/>
      <c r="H15" s="15"/>
      <c r="I15" s="55"/>
      <c r="K15" s="55"/>
      <c r="L15" s="11"/>
      <c r="N15" s="15"/>
      <c r="R15" s="11"/>
    </row>
    <row r="16" spans="1:27" ht="24">
      <c r="B16" s="62"/>
      <c r="C16" s="62"/>
      <c r="D16" s="62"/>
      <c r="E16" s="62"/>
      <c r="F16" s="62"/>
      <c r="G16" s="62"/>
      <c r="H16" s="15"/>
      <c r="K16" s="55"/>
      <c r="L16" s="11"/>
      <c r="N16" s="25"/>
      <c r="R16" s="11"/>
    </row>
    <row r="17" spans="2:21" ht="24">
      <c r="B17" s="62"/>
      <c r="C17" s="62"/>
      <c r="D17" s="62"/>
      <c r="E17" s="62"/>
      <c r="F17" s="62"/>
      <c r="G17" s="62"/>
      <c r="L17" s="11"/>
      <c r="R17" s="11"/>
    </row>
    <row r="18" spans="2:21" ht="24">
      <c r="B18" s="62"/>
      <c r="C18" s="62"/>
      <c r="D18" s="62"/>
      <c r="E18" s="62"/>
      <c r="F18" s="118"/>
      <c r="G18" s="62"/>
      <c r="L18" s="11"/>
      <c r="R18" s="11"/>
    </row>
    <row r="19" spans="2:21" ht="24">
      <c r="B19" s="62"/>
      <c r="C19" s="62"/>
      <c r="D19" s="62"/>
      <c r="E19" s="62"/>
      <c r="F19" s="119"/>
      <c r="G19" s="62"/>
      <c r="L19" s="11"/>
      <c r="R19" s="11"/>
    </row>
    <row r="20" spans="2:21" ht="24">
      <c r="B20" s="62"/>
      <c r="C20" s="62"/>
      <c r="D20" s="62"/>
      <c r="E20" s="62"/>
      <c r="F20" s="119"/>
      <c r="G20" s="62"/>
      <c r="L20" s="11"/>
      <c r="R20" s="11"/>
    </row>
    <row r="21" spans="2:21" ht="24">
      <c r="B21" s="62"/>
      <c r="C21" s="62"/>
      <c r="D21" s="62"/>
      <c r="E21" s="62"/>
      <c r="F21" s="62"/>
      <c r="G21" s="62"/>
    </row>
    <row r="22" spans="2:21" ht="24">
      <c r="B22" s="62"/>
      <c r="C22" s="62"/>
      <c r="D22" s="62"/>
      <c r="E22" s="62"/>
      <c r="F22" s="62"/>
      <c r="G22" s="62"/>
    </row>
    <row r="23" spans="2:21" ht="24">
      <c r="B23" s="62"/>
      <c r="C23" s="62"/>
      <c r="D23" s="62"/>
      <c r="E23" s="62"/>
      <c r="F23" s="62"/>
      <c r="G23" s="62"/>
    </row>
    <row r="24" spans="2:21" ht="24">
      <c r="B24" s="62"/>
      <c r="C24" s="62"/>
      <c r="D24" s="62"/>
      <c r="E24" s="62"/>
      <c r="F24" s="62"/>
      <c r="G24" s="62"/>
    </row>
    <row r="25" spans="2:21" ht="24">
      <c r="B25" s="62"/>
      <c r="C25" s="62"/>
      <c r="D25" s="62"/>
      <c r="E25" s="62"/>
      <c r="F25" s="62"/>
      <c r="G25" s="62"/>
    </row>
    <row r="26" spans="2:21" ht="24">
      <c r="B26" s="62"/>
      <c r="C26" s="62"/>
      <c r="D26" s="62"/>
      <c r="E26" s="62"/>
      <c r="F26" s="62"/>
      <c r="G26" s="62"/>
    </row>
    <row r="27" spans="2:21" ht="24">
      <c r="B27" s="62"/>
      <c r="C27" s="62"/>
      <c r="D27" s="62"/>
      <c r="E27" s="62"/>
      <c r="F27" s="62"/>
      <c r="G27" s="62"/>
    </row>
    <row r="28" spans="2:21" ht="24">
      <c r="B28" s="62"/>
      <c r="C28" s="62"/>
      <c r="D28" s="62"/>
      <c r="E28" s="62"/>
      <c r="F28" s="62"/>
    </row>
    <row r="32" spans="2:21" ht="24">
      <c r="U32" s="31"/>
    </row>
  </sheetData>
  <mergeCells count="6">
    <mergeCell ref="H6:L6"/>
    <mergeCell ref="N6:R6"/>
    <mergeCell ref="A1:R1"/>
    <mergeCell ref="A2:R2"/>
    <mergeCell ref="A3:R3"/>
    <mergeCell ref="A5:H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413B0-99DB-428E-B20C-7862B133BC29}">
  <sheetPr>
    <pageSetUpPr fitToPage="1"/>
  </sheetPr>
  <dimension ref="A1:P22"/>
  <sheetViews>
    <sheetView rightToLeft="1" view="pageBreakPreview" zoomScale="80" zoomScaleNormal="100" zoomScaleSheetLayoutView="80" workbookViewId="0">
      <selection activeCell="A17" sqref="A17:M27"/>
    </sheetView>
  </sheetViews>
  <sheetFormatPr defaultColWidth="9.140625" defaultRowHeight="18"/>
  <cols>
    <col min="1" max="1" width="48" style="54" bestFit="1" customWidth="1"/>
    <col min="2" max="2" width="18.5703125" style="21" bestFit="1" customWidth="1"/>
    <col min="3" max="3" width="0.85546875" style="21" customWidth="1"/>
    <col min="4" max="4" width="19.5703125" style="21" bestFit="1" customWidth="1"/>
    <col min="5" max="5" width="0.7109375" style="21" customWidth="1"/>
    <col min="6" max="6" width="21.28515625" style="21" bestFit="1" customWidth="1"/>
    <col min="7" max="7" width="0.7109375" style="21" customWidth="1"/>
    <col min="8" max="8" width="18.5703125" style="21" bestFit="1" customWidth="1"/>
    <col min="9" max="9" width="0.5703125" style="21" customWidth="1"/>
    <col min="10" max="10" width="19.5703125" style="21" bestFit="1" customWidth="1"/>
    <col min="11" max="11" width="0.85546875" style="21" customWidth="1"/>
    <col min="12" max="12" width="21.28515625" style="21" bestFit="1" customWidth="1"/>
    <col min="13" max="16" width="9.140625" style="163"/>
    <col min="17" max="16384" width="9.140625" style="54"/>
  </cols>
  <sheetData>
    <row r="1" spans="1:16" ht="24.75">
      <c r="A1" s="326" t="s">
        <v>83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6" ht="24.75">
      <c r="A2" s="326" t="s">
        <v>52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16" ht="24.75">
      <c r="A3" s="326" t="str">
        <f>'[1] سهام'!$A$3</f>
        <v>برای ماه منتهی به 1403/12/30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</row>
    <row r="4" spans="1:16" ht="24.7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5" spans="1:16" ht="24.75">
      <c r="A5" s="327" t="s">
        <v>179</v>
      </c>
      <c r="B5" s="327"/>
      <c r="C5" s="18"/>
      <c r="D5" s="19"/>
      <c r="E5" s="19"/>
      <c r="F5" s="19"/>
      <c r="G5" s="19"/>
      <c r="H5" s="19"/>
      <c r="I5" s="19"/>
      <c r="J5" s="19"/>
      <c r="K5" s="19"/>
      <c r="L5" s="19"/>
    </row>
    <row r="6" spans="1:16" ht="24.75" customHeight="1" thickBot="1">
      <c r="A6" s="61"/>
      <c r="B6" s="392" t="str">
        <f>'[1]درآمد سرمایه گذاری در سهام '!C7</f>
        <v>طی اسفند ماه</v>
      </c>
      <c r="C6" s="392"/>
      <c r="D6" s="392"/>
      <c r="E6" s="392"/>
      <c r="F6" s="392"/>
      <c r="G6" s="19"/>
      <c r="H6" s="392" t="str">
        <f>'[1]درآمد سرمایه گذاری در سهام '!M7</f>
        <v>از ابتدای سال مالی تا پایان اسفند ماه</v>
      </c>
      <c r="I6" s="392"/>
      <c r="J6" s="392"/>
      <c r="K6" s="392"/>
      <c r="L6" s="392"/>
    </row>
    <row r="7" spans="1:16" ht="46.5" customHeight="1" thickBot="1">
      <c r="A7" s="63" t="s">
        <v>33</v>
      </c>
      <c r="B7" s="20" t="s">
        <v>53</v>
      </c>
      <c r="C7" s="279"/>
      <c r="D7" s="20" t="s">
        <v>35</v>
      </c>
      <c r="E7" s="279"/>
      <c r="F7" s="20" t="s">
        <v>37</v>
      </c>
      <c r="G7" s="19"/>
      <c r="H7" s="20" t="s">
        <v>53</v>
      </c>
      <c r="I7" s="279"/>
      <c r="J7" s="20" t="s">
        <v>35</v>
      </c>
      <c r="K7" s="279"/>
      <c r="L7" s="20" t="s">
        <v>37</v>
      </c>
    </row>
    <row r="8" spans="1:16" s="55" customFormat="1" ht="46.5" customHeight="1">
      <c r="A8" s="69" t="s">
        <v>90</v>
      </c>
      <c r="B8" s="31">
        <v>5756</v>
      </c>
      <c r="C8" s="31"/>
      <c r="D8" s="31">
        <v>0</v>
      </c>
      <c r="E8" s="31"/>
      <c r="F8" s="31">
        <f>B8+D8</f>
        <v>5756</v>
      </c>
      <c r="G8" s="31"/>
      <c r="H8" s="31">
        <v>253205</v>
      </c>
      <c r="I8" s="31"/>
      <c r="J8" s="31">
        <v>0</v>
      </c>
      <c r="K8" s="31"/>
      <c r="L8" s="31">
        <f>H8+J8</f>
        <v>253205</v>
      </c>
      <c r="M8" s="164"/>
      <c r="N8" s="164"/>
      <c r="O8" s="164"/>
      <c r="P8" s="164"/>
    </row>
    <row r="9" spans="1:16" s="55" customFormat="1" ht="46.5" customHeight="1">
      <c r="A9" s="69" t="s">
        <v>137</v>
      </c>
      <c r="B9" s="31">
        <v>2648268</v>
      </c>
      <c r="C9" s="31"/>
      <c r="D9" s="31">
        <v>0</v>
      </c>
      <c r="E9" s="31"/>
      <c r="F9" s="31">
        <f t="shared" ref="F9:F13" si="0">B9+D9</f>
        <v>2648268</v>
      </c>
      <c r="G9" s="31"/>
      <c r="H9" s="31">
        <v>104186065</v>
      </c>
      <c r="I9" s="31"/>
      <c r="J9" s="31">
        <v>0</v>
      </c>
      <c r="K9" s="31"/>
      <c r="L9" s="31">
        <f t="shared" ref="L9:L13" si="1">H9+J9</f>
        <v>104186065</v>
      </c>
      <c r="M9" s="164"/>
      <c r="N9" s="164"/>
      <c r="O9" s="164"/>
      <c r="P9" s="164"/>
    </row>
    <row r="10" spans="1:16" s="55" customFormat="1" ht="46.5" customHeight="1">
      <c r="A10" s="69" t="s">
        <v>139</v>
      </c>
      <c r="B10" s="31">
        <v>2426318</v>
      </c>
      <c r="C10" s="31"/>
      <c r="D10" s="31">
        <v>0</v>
      </c>
      <c r="E10" s="31"/>
      <c r="F10" s="31">
        <f t="shared" si="0"/>
        <v>2426318</v>
      </c>
      <c r="G10" s="31"/>
      <c r="H10" s="31">
        <v>2433900</v>
      </c>
      <c r="I10" s="31"/>
      <c r="J10" s="31">
        <v>0</v>
      </c>
      <c r="K10" s="31"/>
      <c r="L10" s="31">
        <f t="shared" si="1"/>
        <v>2433900</v>
      </c>
      <c r="M10" s="164"/>
      <c r="N10" s="164"/>
      <c r="O10" s="164"/>
      <c r="P10" s="164"/>
    </row>
    <row r="11" spans="1:16" s="55" customFormat="1" ht="46.5" customHeight="1">
      <c r="A11" s="69" t="s">
        <v>123</v>
      </c>
      <c r="B11" s="31">
        <v>1873983</v>
      </c>
      <c r="C11" s="31"/>
      <c r="D11" s="31">
        <v>0</v>
      </c>
      <c r="E11" s="31"/>
      <c r="F11" s="31">
        <f t="shared" si="0"/>
        <v>1873983</v>
      </c>
      <c r="G11" s="31"/>
      <c r="H11" s="31">
        <v>24361651</v>
      </c>
      <c r="I11" s="31"/>
      <c r="J11" s="31">
        <v>0</v>
      </c>
      <c r="K11" s="31"/>
      <c r="L11" s="31">
        <f t="shared" si="1"/>
        <v>24361651</v>
      </c>
      <c r="M11" s="164"/>
      <c r="N11" s="164"/>
      <c r="O11" s="164"/>
      <c r="P11" s="164"/>
    </row>
    <row r="12" spans="1:16" s="55" customFormat="1" ht="46.5" customHeight="1">
      <c r="A12" s="69" t="s">
        <v>140</v>
      </c>
      <c r="B12" s="31">
        <v>550819682</v>
      </c>
      <c r="C12" s="31"/>
      <c r="D12" s="31">
        <v>0</v>
      </c>
      <c r="E12" s="31"/>
      <c r="F12" s="31">
        <f t="shared" si="0"/>
        <v>550819682</v>
      </c>
      <c r="G12" s="31"/>
      <c r="H12" s="31">
        <v>2098360654</v>
      </c>
      <c r="I12" s="31"/>
      <c r="J12" s="31">
        <v>0</v>
      </c>
      <c r="K12" s="31"/>
      <c r="L12" s="31">
        <f t="shared" si="1"/>
        <v>2098360654</v>
      </c>
      <c r="M12" s="164"/>
      <c r="N12" s="164"/>
      <c r="O12" s="164"/>
      <c r="P12" s="164"/>
    </row>
    <row r="13" spans="1:16" ht="47.45" customHeight="1">
      <c r="A13" s="69" t="s">
        <v>157</v>
      </c>
      <c r="B13" s="31">
        <v>159007560</v>
      </c>
      <c r="C13" s="31"/>
      <c r="D13" s="31">
        <v>-2874558</v>
      </c>
      <c r="E13" s="31"/>
      <c r="F13" s="31">
        <f t="shared" si="0"/>
        <v>156133002</v>
      </c>
      <c r="G13" s="31"/>
      <c r="H13" s="31">
        <v>159007560</v>
      </c>
      <c r="I13" s="31"/>
      <c r="J13" s="31">
        <v>-2874558</v>
      </c>
      <c r="K13" s="31"/>
      <c r="L13" s="31">
        <f t="shared" si="1"/>
        <v>156133002</v>
      </c>
    </row>
    <row r="14" spans="1:16" ht="24.75" thickBot="1">
      <c r="A14" s="69"/>
      <c r="B14" s="71">
        <f>SUM(B8:B13)</f>
        <v>716781567</v>
      </c>
      <c r="C14" s="306"/>
      <c r="D14" s="71">
        <f>SUM(D8:D13)</f>
        <v>-2874558</v>
      </c>
      <c r="E14" s="306"/>
      <c r="F14" s="71">
        <f>SUM(F8:F13)</f>
        <v>713907009</v>
      </c>
      <c r="G14" s="306"/>
      <c r="H14" s="71">
        <f>SUM(H8:H13)</f>
        <v>2388603035</v>
      </c>
      <c r="I14" s="306"/>
      <c r="J14" s="71">
        <f>SUM(J8:J13)</f>
        <v>-2874558</v>
      </c>
      <c r="K14" s="307"/>
      <c r="L14" s="71">
        <f>SUM(L8:L13)</f>
        <v>2385728477</v>
      </c>
    </row>
    <row r="15" spans="1:16" ht="22.5" thickTop="1">
      <c r="C15" s="55"/>
      <c r="E15" s="55"/>
      <c r="G15" s="55"/>
      <c r="I15" s="55"/>
    </row>
    <row r="16" spans="1:16" s="62" customFormat="1" ht="24">
      <c r="A16" s="54"/>
      <c r="B16" s="21"/>
      <c r="C16" s="55"/>
      <c r="D16" s="21"/>
      <c r="E16" s="55"/>
      <c r="F16" s="21"/>
      <c r="G16" s="55"/>
      <c r="H16" s="21"/>
      <c r="I16" s="55"/>
      <c r="J16" s="21"/>
      <c r="K16" s="21"/>
      <c r="L16" s="21"/>
      <c r="M16" s="165"/>
      <c r="N16" s="165"/>
      <c r="O16" s="165"/>
      <c r="P16" s="165"/>
    </row>
    <row r="17" spans="1:12" ht="24">
      <c r="A17" s="6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24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4">
      <c r="B19" s="31"/>
      <c r="C19" s="31"/>
      <c r="D19" s="31"/>
      <c r="E19" s="31"/>
      <c r="F19" s="266"/>
      <c r="G19" s="31"/>
      <c r="H19" s="31"/>
      <c r="I19" s="31"/>
      <c r="J19" s="31"/>
      <c r="K19" s="31"/>
      <c r="L19" s="266"/>
    </row>
    <row r="20" spans="1:12" ht="24">
      <c r="F20" s="31"/>
      <c r="G20" s="31"/>
      <c r="H20" s="31"/>
      <c r="I20" s="31"/>
      <c r="J20" s="31"/>
      <c r="K20" s="31"/>
      <c r="L20" s="31"/>
    </row>
    <row r="21" spans="1:12" ht="24">
      <c r="F21" s="31"/>
      <c r="G21" s="31"/>
      <c r="H21" s="31"/>
      <c r="I21" s="31"/>
      <c r="J21" s="31"/>
      <c r="K21" s="31"/>
      <c r="L21" s="31"/>
    </row>
    <row r="22" spans="1:12" ht="24">
      <c r="F22" s="31"/>
      <c r="G22" s="31"/>
      <c r="H22" s="31"/>
      <c r="I22" s="31"/>
      <c r="J22" s="31"/>
      <c r="K22" s="31"/>
      <c r="L22" s="31"/>
    </row>
  </sheetData>
  <autoFilter ref="A7:L7" xr:uid="{00000000-0009-0000-0000-000005000000}">
    <sortState xmlns:xlrd2="http://schemas.microsoft.com/office/spreadsheetml/2017/richdata2" ref="A8:L15">
      <sortCondition descending="1" ref="L7"/>
    </sortState>
  </autoFilter>
  <mergeCells count="6">
    <mergeCell ref="A1:L1"/>
    <mergeCell ref="A2:L2"/>
    <mergeCell ref="A3:L3"/>
    <mergeCell ref="A5:B5"/>
    <mergeCell ref="B6:F6"/>
    <mergeCell ref="H6:L6"/>
  </mergeCells>
  <printOptions horizontalCentered="1"/>
  <pageMargins left="0.25" right="0.25" top="0.75" bottom="0.75" header="0.3" footer="0.3"/>
  <pageSetup paperSize="9" scale="8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I101"/>
  <sheetViews>
    <sheetView rightToLeft="1" view="pageBreakPreview" zoomScale="93" zoomScaleNormal="100" zoomScaleSheetLayoutView="93" workbookViewId="0">
      <selection activeCell="R6" sqref="R6:AM56"/>
    </sheetView>
  </sheetViews>
  <sheetFormatPr defaultColWidth="9.140625" defaultRowHeight="17.25"/>
  <cols>
    <col min="1" max="1" width="31.7109375" style="1" customWidth="1"/>
    <col min="2" max="2" width="1.140625" style="1" customWidth="1"/>
    <col min="3" max="3" width="15.42578125" style="1" customWidth="1"/>
    <col min="4" max="4" width="0.85546875" style="1" customWidth="1"/>
    <col min="5" max="5" width="23.28515625" style="16" customWidth="1"/>
    <col min="6" max="6" width="0.5703125" style="16" customWidth="1"/>
    <col min="7" max="7" width="22.140625" style="16" customWidth="1"/>
    <col min="8" max="8" width="0.85546875" style="16" customWidth="1"/>
    <col min="9" max="9" width="23.7109375" style="32" customWidth="1"/>
    <col min="10" max="10" width="0.5703125" style="32" customWidth="1"/>
    <col min="11" max="11" width="13.7109375" style="32" customWidth="1"/>
    <col min="12" max="12" width="0.42578125" style="32" customWidth="1"/>
    <col min="13" max="13" width="24" style="32" customWidth="1"/>
    <col min="14" max="14" width="0.42578125" style="32" customWidth="1"/>
    <col min="15" max="15" width="22.140625" style="32" customWidth="1"/>
    <col min="16" max="16" width="0.5703125" style="32" customWidth="1"/>
    <col min="17" max="17" width="22.85546875" style="32" customWidth="1"/>
    <col min="18" max="18" width="9.5703125" style="1" customWidth="1"/>
    <col min="19" max="19" width="12.5703125" style="1" customWidth="1"/>
    <col min="20" max="20" width="12.140625" style="1" customWidth="1"/>
    <col min="21" max="23" width="9.140625" style="1" customWidth="1"/>
    <col min="24" max="24" width="12.140625" style="1" customWidth="1"/>
    <col min="25" max="25" width="9.140625" style="1" customWidth="1"/>
    <col min="26" max="26" width="39.28515625" style="1" bestFit="1" customWidth="1"/>
    <col min="27" max="27" width="13.7109375" style="1" bestFit="1" customWidth="1"/>
    <col min="28" max="28" width="10.7109375" style="1" bestFit="1" customWidth="1"/>
    <col min="29" max="29" width="13.5703125" style="1" bestFit="1" customWidth="1"/>
    <col min="30" max="30" width="12.5703125" style="1" bestFit="1" customWidth="1"/>
    <col min="31" max="31" width="9.140625" style="1"/>
    <col min="32" max="32" width="13.5703125" style="1" bestFit="1" customWidth="1"/>
    <col min="33" max="33" width="9.140625" style="1"/>
    <col min="34" max="34" width="12.5703125" style="1" bestFit="1" customWidth="1"/>
    <col min="35" max="35" width="13.5703125" style="1" bestFit="1" customWidth="1"/>
    <col min="36" max="16384" width="9.140625" style="1"/>
  </cols>
  <sheetData>
    <row r="1" spans="1:21" ht="22.5">
      <c r="A1" s="377" t="s">
        <v>83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21" ht="22.5">
      <c r="A2" s="377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1" ht="22.5">
      <c r="A3" s="377" t="str">
        <f>درآمدها!A3</f>
        <v>برای ماه منتهی به 1403/12/30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21" ht="22.5">
      <c r="A4" s="397" t="s">
        <v>59</v>
      </c>
      <c r="B4" s="397"/>
      <c r="C4" s="397"/>
      <c r="D4" s="397"/>
      <c r="E4" s="397"/>
      <c r="F4" s="397"/>
      <c r="G4" s="397"/>
      <c r="H4" s="397"/>
      <c r="I4" s="397"/>
      <c r="J4" s="398"/>
      <c r="K4" s="398"/>
      <c r="L4" s="398"/>
      <c r="M4" s="398"/>
      <c r="N4" s="398"/>
      <c r="O4" s="398"/>
      <c r="P4" s="398"/>
      <c r="Q4" s="398"/>
    </row>
    <row r="5" spans="1:21" ht="20.25" customHeight="1" thickBot="1">
      <c r="A5" s="55"/>
      <c r="B5" s="55"/>
      <c r="C5" s="396" t="str">
        <f>'درآمد سرمایه گذاری در سهام '!C7</f>
        <v>طی اسفند ماه</v>
      </c>
      <c r="D5" s="396"/>
      <c r="E5" s="396"/>
      <c r="F5" s="396"/>
      <c r="G5" s="396"/>
      <c r="H5" s="396"/>
      <c r="I5" s="396"/>
      <c r="J5" s="2"/>
      <c r="K5" s="396" t="str">
        <f>'درآمد سرمایه گذاری در سهام '!M7</f>
        <v>از ابتدای سال مالی تا پایان اسفند ماه</v>
      </c>
      <c r="L5" s="396"/>
      <c r="M5" s="396"/>
      <c r="N5" s="396"/>
      <c r="O5" s="396"/>
      <c r="P5" s="396"/>
      <c r="Q5" s="396"/>
      <c r="T5" s="159"/>
      <c r="U5" s="159"/>
    </row>
    <row r="6" spans="1:21" ht="22.5" thickBot="1">
      <c r="A6" s="166" t="s">
        <v>33</v>
      </c>
      <c r="B6" s="166"/>
      <c r="C6" s="211" t="s">
        <v>3</v>
      </c>
      <c r="D6" s="212"/>
      <c r="E6" s="44" t="s">
        <v>41</v>
      </c>
      <c r="F6" s="45"/>
      <c r="G6" s="46" t="s">
        <v>38</v>
      </c>
      <c r="H6" s="45"/>
      <c r="I6" s="28" t="s">
        <v>42</v>
      </c>
      <c r="J6" s="2"/>
      <c r="K6" s="26" t="s">
        <v>3</v>
      </c>
      <c r="L6" s="27"/>
      <c r="M6" s="28" t="s">
        <v>18</v>
      </c>
      <c r="N6" s="27"/>
      <c r="O6" s="26" t="s">
        <v>38</v>
      </c>
      <c r="P6" s="27"/>
      <c r="Q6" s="28" t="s">
        <v>42</v>
      </c>
      <c r="T6" s="159"/>
      <c r="U6" s="159"/>
    </row>
    <row r="7" spans="1:21" s="167" customFormat="1" ht="21.75">
      <c r="A7" s="167" t="s">
        <v>107</v>
      </c>
      <c r="B7" s="168"/>
      <c r="C7" s="15">
        <v>18057000</v>
      </c>
      <c r="D7" s="15"/>
      <c r="E7" s="15">
        <v>24375503975</v>
      </c>
      <c r="F7" s="15"/>
      <c r="G7" s="15">
        <v>-26278657739</v>
      </c>
      <c r="H7" s="15"/>
      <c r="I7" s="15">
        <f>E7+G7</f>
        <v>-1903153764</v>
      </c>
      <c r="J7" s="15"/>
      <c r="K7" s="15">
        <v>18107722</v>
      </c>
      <c r="L7" s="15"/>
      <c r="M7" s="15">
        <v>24441075704</v>
      </c>
      <c r="N7" s="15"/>
      <c r="O7" s="15">
        <v>-26333666182</v>
      </c>
      <c r="P7" s="15"/>
      <c r="Q7" s="15">
        <f>M7+O7</f>
        <v>-1892590478</v>
      </c>
    </row>
    <row r="8" spans="1:21" s="167" customFormat="1" ht="21.75">
      <c r="A8" s="167" t="s">
        <v>129</v>
      </c>
      <c r="B8" s="168"/>
      <c r="C8" s="15">
        <v>0</v>
      </c>
      <c r="D8" s="15"/>
      <c r="E8" s="15">
        <v>0</v>
      </c>
      <c r="F8" s="15"/>
      <c r="G8" s="15">
        <v>0</v>
      </c>
      <c r="H8" s="15"/>
      <c r="I8" s="15">
        <f t="shared" ref="I8:I53" si="0">E8+G8</f>
        <v>0</v>
      </c>
      <c r="J8" s="15"/>
      <c r="K8" s="15">
        <v>37255</v>
      </c>
      <c r="L8" s="15"/>
      <c r="M8" s="15">
        <v>1801301308</v>
      </c>
      <c r="N8" s="15"/>
      <c r="O8" s="15">
        <v>-1684275977</v>
      </c>
      <c r="P8" s="15"/>
      <c r="Q8" s="15">
        <f t="shared" ref="Q8:Q53" si="1">M8+O8</f>
        <v>117025331</v>
      </c>
    </row>
    <row r="9" spans="1:21" s="167" customFormat="1" ht="21.75">
      <c r="A9" s="167" t="s">
        <v>125</v>
      </c>
      <c r="B9" s="168"/>
      <c r="C9" s="15">
        <v>0</v>
      </c>
      <c r="D9" s="15"/>
      <c r="E9" s="15">
        <v>0</v>
      </c>
      <c r="F9" s="15"/>
      <c r="G9" s="15">
        <v>0</v>
      </c>
      <c r="H9" s="15"/>
      <c r="I9" s="15">
        <f t="shared" si="0"/>
        <v>0</v>
      </c>
      <c r="J9" s="15"/>
      <c r="K9" s="15">
        <v>272438</v>
      </c>
      <c r="L9" s="15"/>
      <c r="M9" s="15">
        <v>1102857518</v>
      </c>
      <c r="N9" s="15"/>
      <c r="O9" s="15">
        <v>-1091663307</v>
      </c>
      <c r="P9" s="15"/>
      <c r="Q9" s="15">
        <f t="shared" si="1"/>
        <v>11194211</v>
      </c>
    </row>
    <row r="10" spans="1:21" s="167" customFormat="1" ht="21.75">
      <c r="A10" s="167" t="s">
        <v>126</v>
      </c>
      <c r="B10" s="168"/>
      <c r="C10" s="15">
        <v>0</v>
      </c>
      <c r="D10" s="15"/>
      <c r="E10" s="15">
        <v>0</v>
      </c>
      <c r="F10" s="15"/>
      <c r="G10" s="15">
        <v>0</v>
      </c>
      <c r="H10" s="15"/>
      <c r="I10" s="15">
        <f t="shared" si="0"/>
        <v>0</v>
      </c>
      <c r="J10" s="15"/>
      <c r="K10" s="15">
        <v>56549</v>
      </c>
      <c r="L10" s="15"/>
      <c r="M10" s="15">
        <v>1410372499</v>
      </c>
      <c r="N10" s="15"/>
      <c r="O10" s="15">
        <v>-1294574650</v>
      </c>
      <c r="P10" s="15"/>
      <c r="Q10" s="15">
        <f t="shared" si="1"/>
        <v>115797849</v>
      </c>
    </row>
    <row r="11" spans="1:21" s="167" customFormat="1" ht="21.75">
      <c r="A11" s="167" t="s">
        <v>92</v>
      </c>
      <c r="B11" s="168"/>
      <c r="C11" s="15">
        <v>0</v>
      </c>
      <c r="D11" s="15"/>
      <c r="E11" s="15">
        <v>0</v>
      </c>
      <c r="F11" s="15"/>
      <c r="G11" s="15">
        <v>0</v>
      </c>
      <c r="H11" s="15"/>
      <c r="I11" s="15">
        <f t="shared" si="0"/>
        <v>0</v>
      </c>
      <c r="J11" s="15"/>
      <c r="K11" s="15">
        <v>377</v>
      </c>
      <c r="L11" s="15"/>
      <c r="M11" s="15">
        <v>19082625</v>
      </c>
      <c r="N11" s="15"/>
      <c r="O11" s="15">
        <v>-16024607</v>
      </c>
      <c r="P11" s="15"/>
      <c r="Q11" s="15">
        <f t="shared" si="1"/>
        <v>3058018</v>
      </c>
    </row>
    <row r="12" spans="1:21" s="167" customFormat="1" ht="21.75">
      <c r="A12" s="167" t="s">
        <v>94</v>
      </c>
      <c r="B12" s="168"/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45721</v>
      </c>
      <c r="L12" s="15"/>
      <c r="M12" s="15">
        <v>486758370</v>
      </c>
      <c r="N12" s="15"/>
      <c r="O12" s="15">
        <v>-482213471</v>
      </c>
      <c r="P12" s="15"/>
      <c r="Q12" s="15">
        <f t="shared" si="1"/>
        <v>4544899</v>
      </c>
    </row>
    <row r="13" spans="1:21" s="167" customFormat="1" ht="21.75">
      <c r="A13" s="167" t="s">
        <v>97</v>
      </c>
      <c r="B13" s="168"/>
      <c r="C13" s="15">
        <v>47170</v>
      </c>
      <c r="D13" s="15"/>
      <c r="E13" s="15">
        <v>273364845</v>
      </c>
      <c r="F13" s="15"/>
      <c r="G13" s="15">
        <f>-7033404-289776112</f>
        <v>-296809516</v>
      </c>
      <c r="H13" s="15"/>
      <c r="I13" s="15">
        <f t="shared" si="0"/>
        <v>-23444671</v>
      </c>
      <c r="J13" s="15"/>
      <c r="K13" s="15">
        <v>291889</v>
      </c>
      <c r="L13" s="15"/>
      <c r="M13" s="15">
        <v>1655098269</v>
      </c>
      <c r="N13" s="15"/>
      <c r="O13" s="15">
        <v>-1793140972</v>
      </c>
      <c r="P13" s="15"/>
      <c r="Q13" s="15">
        <f t="shared" si="1"/>
        <v>-138042703</v>
      </c>
    </row>
    <row r="14" spans="1:21" s="167" customFormat="1" ht="21.75">
      <c r="A14" s="167" t="s">
        <v>106</v>
      </c>
      <c r="B14" s="168"/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44427</v>
      </c>
      <c r="L14" s="15"/>
      <c r="M14" s="15">
        <v>1063157493</v>
      </c>
      <c r="N14" s="15"/>
      <c r="O14" s="15">
        <v>-1050188042</v>
      </c>
      <c r="P14" s="15"/>
      <c r="Q14" s="15">
        <f t="shared" si="1"/>
        <v>12969451</v>
      </c>
    </row>
    <row r="15" spans="1:21" s="167" customFormat="1" ht="21.75">
      <c r="A15" s="167" t="s">
        <v>127</v>
      </c>
      <c r="B15" s="168"/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30000</v>
      </c>
      <c r="L15" s="15"/>
      <c r="M15" s="15">
        <v>2291086441</v>
      </c>
      <c r="N15" s="15"/>
      <c r="O15" s="15">
        <v>-1901977589</v>
      </c>
      <c r="P15" s="15"/>
      <c r="Q15" s="15">
        <f t="shared" si="1"/>
        <v>389108852</v>
      </c>
    </row>
    <row r="16" spans="1:21" s="167" customFormat="1" ht="21.75">
      <c r="A16" s="167" t="s">
        <v>122</v>
      </c>
      <c r="B16" s="168"/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186362</v>
      </c>
      <c r="L16" s="15"/>
      <c r="M16" s="15">
        <v>4176628340</v>
      </c>
      <c r="N16" s="15"/>
      <c r="O16" s="15">
        <v>-2782502258</v>
      </c>
      <c r="P16" s="15"/>
      <c r="Q16" s="15">
        <f t="shared" si="1"/>
        <v>1394126082</v>
      </c>
    </row>
    <row r="17" spans="1:27" s="167" customFormat="1" ht="21.75">
      <c r="A17" s="167" t="s">
        <v>128</v>
      </c>
      <c r="B17" s="168"/>
      <c r="C17" s="15">
        <v>59000</v>
      </c>
      <c r="D17" s="15"/>
      <c r="E17" s="15">
        <v>1911574810</v>
      </c>
      <c r="F17" s="15"/>
      <c r="G17" s="15">
        <f>-1158316767-782963479</f>
        <v>-1941280246</v>
      </c>
      <c r="H17" s="15"/>
      <c r="I17" s="15">
        <f t="shared" si="0"/>
        <v>-29705436</v>
      </c>
      <c r="J17" s="15"/>
      <c r="K17" s="15">
        <v>59223</v>
      </c>
      <c r="L17" s="15"/>
      <c r="M17" s="15">
        <v>1916828467</v>
      </c>
      <c r="N17" s="15"/>
      <c r="O17" s="15">
        <v>-1162694811</v>
      </c>
      <c r="P17" s="15"/>
      <c r="Q17" s="15">
        <f t="shared" si="1"/>
        <v>754133656</v>
      </c>
    </row>
    <row r="18" spans="1:27" s="167" customFormat="1" ht="21.75">
      <c r="A18" s="167" t="s">
        <v>95</v>
      </c>
      <c r="B18" s="168"/>
      <c r="C18" s="15">
        <v>23000</v>
      </c>
      <c r="D18" s="15"/>
      <c r="E18" s="15">
        <v>914526000</v>
      </c>
      <c r="F18" s="15"/>
      <c r="G18" s="15">
        <f>-598557272-341118194</f>
        <v>-939675466</v>
      </c>
      <c r="H18" s="15"/>
      <c r="I18" s="15">
        <f t="shared" si="0"/>
        <v>-25149466</v>
      </c>
      <c r="J18" s="15"/>
      <c r="K18" s="15">
        <v>23675</v>
      </c>
      <c r="L18" s="15"/>
      <c r="M18" s="15">
        <v>937478122</v>
      </c>
      <c r="N18" s="15"/>
      <c r="O18" s="15">
        <v>-616123626</v>
      </c>
      <c r="P18" s="15"/>
      <c r="Q18" s="15">
        <f t="shared" si="1"/>
        <v>321354496</v>
      </c>
    </row>
    <row r="19" spans="1:27" s="167" customFormat="1" ht="21.75">
      <c r="A19" s="167" t="s">
        <v>130</v>
      </c>
      <c r="B19" s="168"/>
      <c r="C19" s="15">
        <v>70000</v>
      </c>
      <c r="D19" s="15"/>
      <c r="E19" s="15">
        <v>2550856034</v>
      </c>
      <c r="F19" s="15"/>
      <c r="G19" s="15">
        <f>-1729149978-821085297</f>
        <v>-2550235275</v>
      </c>
      <c r="H19" s="15"/>
      <c r="I19" s="15">
        <f t="shared" si="0"/>
        <v>620759</v>
      </c>
      <c r="J19" s="15"/>
      <c r="K19" s="15">
        <v>77362</v>
      </c>
      <c r="L19" s="15"/>
      <c r="M19" s="15">
        <v>2761274060</v>
      </c>
      <c r="N19" s="15"/>
      <c r="O19" s="15">
        <v>-1911007152</v>
      </c>
      <c r="P19" s="15"/>
      <c r="Q19" s="15">
        <f t="shared" si="1"/>
        <v>850266908</v>
      </c>
    </row>
    <row r="20" spans="1:27" s="167" customFormat="1" ht="21.75">
      <c r="A20" s="167" t="s">
        <v>84</v>
      </c>
      <c r="B20" s="168"/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308632</v>
      </c>
      <c r="L20" s="15"/>
      <c r="M20" s="15">
        <v>2859325482</v>
      </c>
      <c r="N20" s="15"/>
      <c r="O20" s="15">
        <v>-2093246854</v>
      </c>
      <c r="P20" s="15"/>
      <c r="Q20" s="15">
        <f t="shared" si="1"/>
        <v>766078628</v>
      </c>
    </row>
    <row r="21" spans="1:27" s="167" customFormat="1" ht="21.75">
      <c r="A21" s="167" t="s">
        <v>85</v>
      </c>
      <c r="B21" s="168"/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268627</v>
      </c>
      <c r="L21" s="15"/>
      <c r="M21" s="15">
        <v>7355381404</v>
      </c>
      <c r="N21" s="15"/>
      <c r="O21" s="15">
        <v>-5276473467</v>
      </c>
      <c r="P21" s="15"/>
      <c r="Q21" s="15">
        <f t="shared" si="1"/>
        <v>2078907937</v>
      </c>
    </row>
    <row r="22" spans="1:27" s="167" customFormat="1" ht="21.75">
      <c r="A22" s="167" t="s">
        <v>93</v>
      </c>
      <c r="B22" s="168"/>
      <c r="C22" s="15">
        <v>27000</v>
      </c>
      <c r="D22" s="15"/>
      <c r="E22" s="15">
        <v>1348603418</v>
      </c>
      <c r="F22" s="15"/>
      <c r="G22" s="15">
        <f>-776999185-634750626</f>
        <v>-1411749811</v>
      </c>
      <c r="H22" s="15"/>
      <c r="I22" s="15">
        <f t="shared" si="0"/>
        <v>-63146393</v>
      </c>
      <c r="J22" s="15"/>
      <c r="K22" s="15">
        <v>27988</v>
      </c>
      <c r="L22" s="15"/>
      <c r="M22" s="15">
        <v>1386415094</v>
      </c>
      <c r="N22" s="15"/>
      <c r="O22" s="15">
        <v>-805431600</v>
      </c>
      <c r="P22" s="15"/>
      <c r="Q22" s="15">
        <f t="shared" si="1"/>
        <v>580983494</v>
      </c>
      <c r="Z22" s="1"/>
      <c r="AA22" s="159"/>
    </row>
    <row r="23" spans="1:27" s="167" customFormat="1" ht="21.75">
      <c r="A23" s="167" t="s">
        <v>89</v>
      </c>
      <c r="B23" s="168"/>
      <c r="C23" s="15">
        <v>31995</v>
      </c>
      <c r="D23" s="15"/>
      <c r="E23" s="15">
        <v>95095858</v>
      </c>
      <c r="F23" s="15"/>
      <c r="G23" s="15">
        <f>-84981972-10336507</f>
        <v>-95318479</v>
      </c>
      <c r="H23" s="15"/>
      <c r="I23" s="15">
        <f t="shared" si="0"/>
        <v>-222621</v>
      </c>
      <c r="J23" s="15"/>
      <c r="K23" s="15">
        <v>777194</v>
      </c>
      <c r="L23" s="15"/>
      <c r="M23" s="15">
        <v>2453285848</v>
      </c>
      <c r="N23" s="15"/>
      <c r="O23" s="15">
        <v>-2064306232</v>
      </c>
      <c r="P23" s="15"/>
      <c r="Q23" s="15">
        <f t="shared" si="1"/>
        <v>388979616</v>
      </c>
      <c r="Z23" s="15"/>
      <c r="AA23" s="15"/>
    </row>
    <row r="24" spans="1:27" s="167" customFormat="1" ht="21.75">
      <c r="A24" s="167" t="s">
        <v>98</v>
      </c>
      <c r="B24" s="168"/>
      <c r="C24" s="15">
        <v>0</v>
      </c>
      <c r="D24" s="15"/>
      <c r="E24" s="15">
        <v>0</v>
      </c>
      <c r="F24" s="15"/>
      <c r="G24" s="15">
        <v>0</v>
      </c>
      <c r="H24" s="15"/>
      <c r="I24" s="15">
        <f t="shared" si="0"/>
        <v>0</v>
      </c>
      <c r="J24" s="15"/>
      <c r="K24" s="15">
        <v>1102916</v>
      </c>
      <c r="L24" s="15"/>
      <c r="M24" s="15">
        <v>4406844314</v>
      </c>
      <c r="N24" s="15"/>
      <c r="O24" s="15">
        <v>-2883410101</v>
      </c>
      <c r="P24" s="15"/>
      <c r="Q24" s="15">
        <f t="shared" si="1"/>
        <v>1523434213</v>
      </c>
      <c r="Z24" s="15"/>
      <c r="AA24" s="15"/>
    </row>
    <row r="25" spans="1:27" s="167" customFormat="1" ht="21.75">
      <c r="A25" s="167" t="s">
        <v>105</v>
      </c>
      <c r="B25" s="168"/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128894</v>
      </c>
      <c r="L25" s="15"/>
      <c r="M25" s="15">
        <v>2236248681</v>
      </c>
      <c r="N25" s="15"/>
      <c r="O25" s="15">
        <v>-1346615621</v>
      </c>
      <c r="P25" s="15"/>
      <c r="Q25" s="15">
        <f t="shared" si="1"/>
        <v>889633060</v>
      </c>
      <c r="Z25" s="15"/>
      <c r="AA25" s="15"/>
    </row>
    <row r="26" spans="1:27" s="167" customFormat="1" ht="21.75">
      <c r="A26" s="167" t="s">
        <v>86</v>
      </c>
      <c r="B26" s="168"/>
      <c r="C26" s="15">
        <v>0</v>
      </c>
      <c r="D26" s="15"/>
      <c r="E26" s="15">
        <v>0</v>
      </c>
      <c r="F26" s="15"/>
      <c r="G26" s="15">
        <v>0</v>
      </c>
      <c r="H26" s="15"/>
      <c r="I26" s="15">
        <f t="shared" si="0"/>
        <v>0</v>
      </c>
      <c r="J26" s="15"/>
      <c r="K26" s="15">
        <v>200000</v>
      </c>
      <c r="L26" s="15"/>
      <c r="M26" s="15">
        <v>5057726414</v>
      </c>
      <c r="N26" s="15"/>
      <c r="O26" s="15">
        <v>-3414184241</v>
      </c>
      <c r="P26" s="15"/>
      <c r="Q26" s="15">
        <f t="shared" si="1"/>
        <v>1643542173</v>
      </c>
      <c r="Z26" s="15"/>
      <c r="AA26" s="15"/>
    </row>
    <row r="27" spans="1:27" s="167" customFormat="1" ht="21.75">
      <c r="A27" s="167" t="s">
        <v>133</v>
      </c>
      <c r="B27" s="168"/>
      <c r="C27" s="15">
        <v>0</v>
      </c>
      <c r="D27" s="15"/>
      <c r="E27" s="15">
        <v>0</v>
      </c>
      <c r="F27" s="15"/>
      <c r="G27" s="15">
        <v>0</v>
      </c>
      <c r="H27" s="15"/>
      <c r="I27" s="15">
        <f t="shared" si="0"/>
        <v>0</v>
      </c>
      <c r="J27" s="15"/>
      <c r="K27" s="15">
        <v>1000000</v>
      </c>
      <c r="L27" s="15"/>
      <c r="M27" s="15">
        <v>1868489558</v>
      </c>
      <c r="N27" s="15"/>
      <c r="O27" s="15">
        <v>-2007461171</v>
      </c>
      <c r="P27" s="15"/>
      <c r="Q27" s="15">
        <f t="shared" si="1"/>
        <v>-138971613</v>
      </c>
      <c r="Z27" s="15"/>
      <c r="AA27" s="15"/>
    </row>
    <row r="28" spans="1:27" s="167" customFormat="1" ht="21.75">
      <c r="A28" s="167" t="s">
        <v>134</v>
      </c>
      <c r="B28" s="168"/>
      <c r="C28" s="15">
        <v>0</v>
      </c>
      <c r="D28" s="15"/>
      <c r="E28" s="15">
        <v>0</v>
      </c>
      <c r="F28" s="15"/>
      <c r="G28" s="15">
        <v>0</v>
      </c>
      <c r="H28" s="15"/>
      <c r="I28" s="15">
        <f t="shared" si="0"/>
        <v>0</v>
      </c>
      <c r="J28" s="15"/>
      <c r="K28" s="15">
        <v>400000</v>
      </c>
      <c r="L28" s="15"/>
      <c r="M28" s="15">
        <v>4059700214</v>
      </c>
      <c r="N28" s="15"/>
      <c r="O28" s="15">
        <v>-3487163454</v>
      </c>
      <c r="P28" s="15"/>
      <c r="Q28" s="15">
        <f t="shared" si="1"/>
        <v>572536760</v>
      </c>
      <c r="Z28" s="15"/>
      <c r="AA28" s="15"/>
    </row>
    <row r="29" spans="1:27" s="167" customFormat="1" ht="21.75">
      <c r="A29" s="167" t="s">
        <v>88</v>
      </c>
      <c r="B29" s="168"/>
      <c r="C29" s="15">
        <v>0</v>
      </c>
      <c r="D29" s="15"/>
      <c r="E29" s="15">
        <v>0</v>
      </c>
      <c r="F29" s="15"/>
      <c r="G29" s="15">
        <v>0</v>
      </c>
      <c r="H29" s="15"/>
      <c r="I29" s="15">
        <f t="shared" si="0"/>
        <v>0</v>
      </c>
      <c r="J29" s="15"/>
      <c r="K29" s="15">
        <v>438428</v>
      </c>
      <c r="L29" s="15"/>
      <c r="M29" s="15">
        <v>3120466586</v>
      </c>
      <c r="N29" s="15"/>
      <c r="O29" s="15">
        <v>-2706438188</v>
      </c>
      <c r="P29" s="15"/>
      <c r="Q29" s="15">
        <f t="shared" si="1"/>
        <v>414028398</v>
      </c>
      <c r="Z29" s="15"/>
      <c r="AA29" s="15"/>
    </row>
    <row r="30" spans="1:27" s="167" customFormat="1" ht="21.75">
      <c r="A30" s="167" t="s">
        <v>131</v>
      </c>
      <c r="B30" s="168"/>
      <c r="C30" s="15">
        <v>0</v>
      </c>
      <c r="D30" s="15"/>
      <c r="E30" s="15">
        <v>0</v>
      </c>
      <c r="F30" s="15"/>
      <c r="G30" s="15">
        <v>0</v>
      </c>
      <c r="H30" s="15"/>
      <c r="I30" s="15">
        <f t="shared" si="0"/>
        <v>0</v>
      </c>
      <c r="J30" s="15"/>
      <c r="K30" s="15">
        <v>150000</v>
      </c>
      <c r="L30" s="15"/>
      <c r="M30" s="15">
        <v>4689430918</v>
      </c>
      <c r="N30" s="15"/>
      <c r="O30" s="15">
        <v>-3373184602</v>
      </c>
      <c r="P30" s="15"/>
      <c r="Q30" s="15">
        <f t="shared" si="1"/>
        <v>1316246316</v>
      </c>
      <c r="Z30" s="15"/>
      <c r="AA30" s="15"/>
    </row>
    <row r="31" spans="1:27" s="167" customFormat="1" ht="21.75">
      <c r="A31" s="167" t="s">
        <v>109</v>
      </c>
      <c r="B31" s="168"/>
      <c r="C31" s="15">
        <v>200000</v>
      </c>
      <c r="D31" s="15"/>
      <c r="E31" s="15">
        <v>1701424584</v>
      </c>
      <c r="F31" s="15"/>
      <c r="G31" s="15">
        <f>-1668015900-131214600</f>
        <v>-1799230500</v>
      </c>
      <c r="H31" s="15"/>
      <c r="I31" s="15">
        <f t="shared" si="0"/>
        <v>-97805916</v>
      </c>
      <c r="J31" s="15"/>
      <c r="K31" s="15">
        <v>200000</v>
      </c>
      <c r="L31" s="15"/>
      <c r="M31" s="15">
        <v>1701424584</v>
      </c>
      <c r="N31" s="15"/>
      <c r="O31" s="15">
        <v>-1668015900</v>
      </c>
      <c r="P31" s="15"/>
      <c r="Q31" s="15">
        <f t="shared" si="1"/>
        <v>33408684</v>
      </c>
      <c r="Z31" s="15"/>
      <c r="AA31" s="15"/>
    </row>
    <row r="32" spans="1:27" s="167" customFormat="1" ht="21.75">
      <c r="A32" s="167" t="s">
        <v>108</v>
      </c>
      <c r="B32" s="168"/>
      <c r="C32" s="15">
        <v>572500</v>
      </c>
      <c r="D32" s="15"/>
      <c r="E32" s="15">
        <v>10954533497</v>
      </c>
      <c r="F32" s="15"/>
      <c r="G32" s="15">
        <f>-8433967525-1178023804</f>
        <v>-9611991329</v>
      </c>
      <c r="H32" s="15"/>
      <c r="I32" s="15">
        <f t="shared" si="0"/>
        <v>1342542168</v>
      </c>
      <c r="J32" s="15"/>
      <c r="K32" s="15">
        <v>572500</v>
      </c>
      <c r="L32" s="15"/>
      <c r="M32" s="15">
        <v>10954533497</v>
      </c>
      <c r="N32" s="15"/>
      <c r="O32" s="15">
        <v>-8433967525</v>
      </c>
      <c r="P32" s="15"/>
      <c r="Q32" s="15">
        <f t="shared" si="1"/>
        <v>2520565972</v>
      </c>
      <c r="Z32" s="15"/>
      <c r="AA32" s="15"/>
    </row>
    <row r="33" spans="1:35" s="167" customFormat="1" ht="21.75">
      <c r="A33" s="167" t="s">
        <v>142</v>
      </c>
      <c r="B33" s="168"/>
      <c r="C33" s="15">
        <v>32529135</v>
      </c>
      <c r="D33" s="15"/>
      <c r="E33" s="15">
        <v>14324666157</v>
      </c>
      <c r="F33" s="15"/>
      <c r="G33" s="15">
        <v>-15221889248</v>
      </c>
      <c r="H33" s="15"/>
      <c r="I33" s="15">
        <f t="shared" si="0"/>
        <v>-897223091</v>
      </c>
      <c r="J33" s="15"/>
      <c r="K33" s="15">
        <v>32529135</v>
      </c>
      <c r="L33" s="15"/>
      <c r="M33" s="15">
        <v>14324666157</v>
      </c>
      <c r="N33" s="15"/>
      <c r="O33" s="15">
        <v>-15221889248</v>
      </c>
      <c r="P33" s="15"/>
      <c r="Q33" s="15">
        <f t="shared" si="1"/>
        <v>-897223091</v>
      </c>
      <c r="Z33" s="15"/>
      <c r="AA33" s="15"/>
    </row>
    <row r="34" spans="1:35" s="167" customFormat="1" ht="21.75">
      <c r="A34" s="167" t="s">
        <v>136</v>
      </c>
      <c r="B34" s="168"/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5">
        <v>23000000</v>
      </c>
      <c r="L34" s="15"/>
      <c r="M34" s="15">
        <v>5016156487</v>
      </c>
      <c r="N34" s="15"/>
      <c r="O34" s="15">
        <v>-35288741</v>
      </c>
      <c r="P34" s="15"/>
      <c r="Q34" s="15">
        <f t="shared" si="1"/>
        <v>4980867746</v>
      </c>
      <c r="Z34" s="15"/>
      <c r="AA34" s="15"/>
    </row>
    <row r="35" spans="1:35" s="167" customFormat="1" ht="21.75">
      <c r="A35" s="282" t="s">
        <v>143</v>
      </c>
      <c r="B35" s="283"/>
      <c r="C35" s="15">
        <v>0</v>
      </c>
      <c r="D35" s="15"/>
      <c r="E35" s="15">
        <v>0</v>
      </c>
      <c r="F35" s="15"/>
      <c r="G35" s="15">
        <f>488428492-961528000</f>
        <v>-473099508</v>
      </c>
      <c r="H35" s="15"/>
      <c r="I35" s="15">
        <f t="shared" si="0"/>
        <v>-473099508</v>
      </c>
      <c r="J35" s="15"/>
      <c r="K35" s="15">
        <v>13748000</v>
      </c>
      <c r="L35" s="15"/>
      <c r="M35" s="15">
        <v>1730965905</v>
      </c>
      <c r="N35" s="15"/>
      <c r="O35" s="15">
        <v>-1242987508</v>
      </c>
      <c r="P35" s="15"/>
      <c r="Q35" s="15">
        <f t="shared" si="1"/>
        <v>487978397</v>
      </c>
      <c r="Z35" s="15"/>
      <c r="AA35" s="15"/>
      <c r="AB35" s="15"/>
    </row>
    <row r="36" spans="1:35" ht="21.75">
      <c r="A36" s="282" t="s">
        <v>161</v>
      </c>
      <c r="B36" s="283"/>
      <c r="C36" s="15">
        <v>7806000</v>
      </c>
      <c r="D36" s="15"/>
      <c r="E36" s="15">
        <v>1319084981</v>
      </c>
      <c r="F36" s="15"/>
      <c r="G36" s="15">
        <v>-1319428000</v>
      </c>
      <c r="H36" s="15"/>
      <c r="I36" s="15">
        <f t="shared" si="0"/>
        <v>-343019</v>
      </c>
      <c r="J36" s="15"/>
      <c r="K36" s="15">
        <v>7806000</v>
      </c>
      <c r="L36" s="15"/>
      <c r="M36" s="15">
        <v>1319084981</v>
      </c>
      <c r="N36" s="15"/>
      <c r="O36" s="15">
        <v>-1319428000</v>
      </c>
      <c r="P36" s="15"/>
      <c r="Q36" s="15">
        <f t="shared" si="1"/>
        <v>-343019</v>
      </c>
      <c r="X36" s="167"/>
      <c r="Y36" s="167"/>
      <c r="Z36" s="15"/>
      <c r="AA36" s="15"/>
      <c r="AB36" s="167"/>
      <c r="AC36" s="167"/>
      <c r="AD36" s="167"/>
      <c r="AE36" s="167"/>
      <c r="AF36" s="167"/>
      <c r="AH36" s="167"/>
      <c r="AI36" s="167"/>
    </row>
    <row r="37" spans="1:35" ht="21.75">
      <c r="A37" s="282" t="s">
        <v>162</v>
      </c>
      <c r="B37" s="283"/>
      <c r="C37" s="15">
        <v>3000000</v>
      </c>
      <c r="D37" s="15"/>
      <c r="E37" s="15">
        <v>627836733</v>
      </c>
      <c r="F37" s="15"/>
      <c r="G37" s="15">
        <v>-628000000</v>
      </c>
      <c r="H37" s="15"/>
      <c r="I37" s="15">
        <f t="shared" si="0"/>
        <v>-163267</v>
      </c>
      <c r="J37" s="15"/>
      <c r="K37" s="15">
        <v>3000000</v>
      </c>
      <c r="L37" s="15"/>
      <c r="M37" s="15">
        <v>627836733</v>
      </c>
      <c r="N37" s="15"/>
      <c r="O37" s="15">
        <v>-628000000</v>
      </c>
      <c r="P37" s="15"/>
      <c r="Q37" s="15">
        <f t="shared" si="1"/>
        <v>-163267</v>
      </c>
      <c r="X37" s="167"/>
      <c r="Y37" s="167"/>
      <c r="Z37" s="15"/>
      <c r="AA37" s="15"/>
      <c r="AB37" s="167"/>
      <c r="AC37" s="167"/>
      <c r="AD37" s="167"/>
      <c r="AE37" s="167"/>
      <c r="AF37" s="167"/>
      <c r="AH37" s="167"/>
      <c r="AI37" s="167"/>
    </row>
    <row r="38" spans="1:35" ht="21.75">
      <c r="A38" s="282" t="s">
        <v>163</v>
      </c>
      <c r="B38" s="283"/>
      <c r="C38" s="15">
        <v>4399728</v>
      </c>
      <c r="D38" s="15"/>
      <c r="E38" s="15">
        <v>1167602704</v>
      </c>
      <c r="F38" s="15"/>
      <c r="G38" s="15">
        <v>-1167906264</v>
      </c>
      <c r="H38" s="15"/>
      <c r="I38" s="15">
        <f t="shared" si="0"/>
        <v>-303560</v>
      </c>
      <c r="J38" s="15"/>
      <c r="K38" s="45">
        <v>4399728</v>
      </c>
      <c r="L38" s="15"/>
      <c r="M38" s="15">
        <v>1167602704</v>
      </c>
      <c r="N38" s="15"/>
      <c r="O38" s="15">
        <v>-1167906264</v>
      </c>
      <c r="P38" s="15"/>
      <c r="Q38" s="15">
        <f t="shared" si="1"/>
        <v>-303560</v>
      </c>
      <c r="X38" s="167"/>
      <c r="Y38" s="167"/>
      <c r="Z38" s="15"/>
      <c r="AA38" s="15"/>
      <c r="AB38" s="167"/>
      <c r="AC38" s="167"/>
      <c r="AD38" s="167"/>
      <c r="AE38" s="167"/>
      <c r="AF38" s="167"/>
      <c r="AH38" s="167"/>
      <c r="AI38" s="167"/>
    </row>
    <row r="39" spans="1:35" ht="22.5" customHeight="1">
      <c r="A39" s="282" t="s">
        <v>164</v>
      </c>
      <c r="B39" s="283"/>
      <c r="C39" s="15">
        <v>1630000</v>
      </c>
      <c r="D39" s="15"/>
      <c r="E39" s="15">
        <v>283510278</v>
      </c>
      <c r="F39" s="15"/>
      <c r="G39" s="15">
        <v>-283584000</v>
      </c>
      <c r="H39" s="15"/>
      <c r="I39" s="15">
        <f t="shared" si="0"/>
        <v>-73722</v>
      </c>
      <c r="J39" s="15"/>
      <c r="K39" s="15">
        <v>1630000</v>
      </c>
      <c r="L39" s="15"/>
      <c r="M39" s="15">
        <v>283510278</v>
      </c>
      <c r="N39" s="15"/>
      <c r="O39" s="15">
        <v>-283584000</v>
      </c>
      <c r="P39" s="15"/>
      <c r="Q39" s="15">
        <f t="shared" si="1"/>
        <v>-73722</v>
      </c>
      <c r="X39" s="167"/>
      <c r="Y39" s="167"/>
      <c r="Z39" s="15"/>
      <c r="AA39" s="15"/>
      <c r="AB39" s="167"/>
      <c r="AC39" s="167"/>
      <c r="AD39" s="167"/>
      <c r="AE39" s="167"/>
      <c r="AF39" s="167"/>
      <c r="AH39" s="167"/>
      <c r="AI39" s="167"/>
    </row>
    <row r="40" spans="1:35" ht="21.75">
      <c r="A40" s="282" t="s">
        <v>165</v>
      </c>
      <c r="B40" s="283"/>
      <c r="C40" s="15">
        <v>400000</v>
      </c>
      <c r="D40" s="15"/>
      <c r="E40" s="15">
        <v>1919505600</v>
      </c>
      <c r="F40" s="15"/>
      <c r="G40" s="15">
        <v>-1920000000</v>
      </c>
      <c r="H40" s="15"/>
      <c r="I40" s="15">
        <f t="shared" si="0"/>
        <v>-494400</v>
      </c>
      <c r="J40" s="15"/>
      <c r="K40" s="15">
        <v>400000</v>
      </c>
      <c r="L40" s="15"/>
      <c r="M40" s="15">
        <v>1919505600</v>
      </c>
      <c r="N40" s="15"/>
      <c r="O40" s="15">
        <v>-1920000000</v>
      </c>
      <c r="P40" s="15"/>
      <c r="Q40" s="15">
        <f t="shared" si="1"/>
        <v>-494400</v>
      </c>
      <c r="X40" s="167"/>
      <c r="Y40" s="167"/>
      <c r="Z40" s="15"/>
      <c r="AA40" s="15"/>
      <c r="AB40" s="15"/>
      <c r="AC40" s="167"/>
      <c r="AD40" s="167"/>
      <c r="AE40" s="167"/>
      <c r="AF40" s="167"/>
      <c r="AH40" s="167"/>
      <c r="AI40" s="167"/>
    </row>
    <row r="41" spans="1:35" ht="18.75" customHeight="1">
      <c r="A41" s="282" t="s">
        <v>166</v>
      </c>
      <c r="B41" s="283"/>
      <c r="C41" s="15">
        <v>938000</v>
      </c>
      <c r="D41" s="15"/>
      <c r="E41" s="15">
        <v>259459539</v>
      </c>
      <c r="F41" s="15"/>
      <c r="G41" s="15">
        <v>-259527000</v>
      </c>
      <c r="H41" s="15"/>
      <c r="I41" s="15">
        <f t="shared" si="0"/>
        <v>-67461</v>
      </c>
      <c r="J41" s="15"/>
      <c r="K41" s="15">
        <v>938000</v>
      </c>
      <c r="L41" s="15"/>
      <c r="M41" s="15">
        <v>259459539</v>
      </c>
      <c r="N41" s="15"/>
      <c r="O41" s="15">
        <v>-259527000</v>
      </c>
      <c r="P41" s="15"/>
      <c r="Q41" s="15">
        <f t="shared" si="1"/>
        <v>-67461</v>
      </c>
      <c r="X41" s="167"/>
      <c r="Y41" s="167"/>
      <c r="Z41" s="15"/>
      <c r="AA41" s="15"/>
      <c r="AB41" s="167"/>
      <c r="AC41" s="167"/>
      <c r="AD41" s="167"/>
      <c r="AE41" s="167"/>
      <c r="AF41" s="167"/>
      <c r="AH41" s="167"/>
      <c r="AI41" s="167"/>
    </row>
    <row r="42" spans="1:35" s="15" customFormat="1" ht="21.75">
      <c r="A42" s="282" t="s">
        <v>167</v>
      </c>
      <c r="B42" s="283"/>
      <c r="C42" s="15">
        <v>110000</v>
      </c>
      <c r="E42" s="15">
        <v>30901964</v>
      </c>
      <c r="G42" s="15">
        <v>-30910000</v>
      </c>
      <c r="I42" s="15">
        <f t="shared" si="0"/>
        <v>-8036</v>
      </c>
      <c r="K42" s="15">
        <v>110000</v>
      </c>
      <c r="M42" s="15">
        <v>30901964</v>
      </c>
      <c r="O42" s="15">
        <v>-30910000</v>
      </c>
      <c r="Q42" s="15">
        <f t="shared" si="1"/>
        <v>-8036</v>
      </c>
      <c r="X42" s="167"/>
      <c r="Y42" s="167"/>
      <c r="AB42" s="167"/>
      <c r="AC42" s="167"/>
      <c r="AD42" s="167"/>
      <c r="AE42" s="167"/>
      <c r="AF42" s="167"/>
      <c r="AH42" s="167"/>
      <c r="AI42" s="167"/>
    </row>
    <row r="43" spans="1:35" s="15" customFormat="1" ht="21.75">
      <c r="A43" s="282" t="s">
        <v>168</v>
      </c>
      <c r="B43" s="283"/>
      <c r="C43" s="15">
        <v>21276000</v>
      </c>
      <c r="E43" s="15">
        <v>5288050882</v>
      </c>
      <c r="G43" s="15">
        <v>-5289426000</v>
      </c>
      <c r="I43" s="15">
        <f t="shared" si="0"/>
        <v>-1375118</v>
      </c>
      <c r="K43" s="15">
        <v>21276000</v>
      </c>
      <c r="M43" s="15">
        <v>5288050882</v>
      </c>
      <c r="O43" s="15">
        <v>-5289426000</v>
      </c>
      <c r="Q43" s="15">
        <f t="shared" si="1"/>
        <v>-1375118</v>
      </c>
      <c r="X43" s="167"/>
      <c r="Y43" s="167"/>
      <c r="AB43" s="167"/>
      <c r="AC43" s="167"/>
      <c r="AD43" s="167"/>
      <c r="AE43" s="167"/>
      <c r="AF43" s="167"/>
      <c r="AH43" s="167"/>
      <c r="AI43" s="167"/>
    </row>
    <row r="44" spans="1:35" s="15" customFormat="1" ht="21.75">
      <c r="A44" s="282" t="s">
        <v>169</v>
      </c>
      <c r="B44" s="283"/>
      <c r="C44" s="15">
        <v>1140000</v>
      </c>
      <c r="E44" s="15">
        <v>204176909</v>
      </c>
      <c r="G44" s="15">
        <v>-204230000</v>
      </c>
      <c r="I44" s="15">
        <f t="shared" si="0"/>
        <v>-53091</v>
      </c>
      <c r="K44" s="15">
        <v>1140000</v>
      </c>
      <c r="M44" s="15">
        <v>204176909</v>
      </c>
      <c r="O44" s="15">
        <v>-204230000</v>
      </c>
      <c r="Q44" s="15">
        <f t="shared" si="1"/>
        <v>-53091</v>
      </c>
      <c r="X44" s="167"/>
      <c r="Y44" s="167"/>
      <c r="AB44" s="167"/>
      <c r="AC44" s="167"/>
      <c r="AD44" s="167"/>
      <c r="AE44" s="167"/>
      <c r="AF44" s="167"/>
      <c r="AH44" s="167"/>
      <c r="AI44" s="167"/>
    </row>
    <row r="45" spans="1:35" s="15" customFormat="1" ht="21.75">
      <c r="A45" s="282" t="s">
        <v>170</v>
      </c>
      <c r="B45" s="283"/>
      <c r="C45" s="15">
        <v>4985000</v>
      </c>
      <c r="E45" s="15">
        <v>1290014527</v>
      </c>
      <c r="G45" s="15">
        <v>-1290350000</v>
      </c>
      <c r="I45" s="15">
        <f t="shared" si="0"/>
        <v>-335473</v>
      </c>
      <c r="K45" s="15">
        <v>4985000</v>
      </c>
      <c r="M45" s="15">
        <v>1290014527</v>
      </c>
      <c r="O45" s="15">
        <v>-1290350000</v>
      </c>
      <c r="Q45" s="15">
        <f t="shared" si="1"/>
        <v>-335473</v>
      </c>
      <c r="X45" s="167"/>
      <c r="Y45" s="167"/>
      <c r="AB45" s="167"/>
      <c r="AC45" s="167"/>
      <c r="AD45" s="167"/>
      <c r="AE45" s="167"/>
      <c r="AF45" s="167"/>
      <c r="AH45" s="167"/>
      <c r="AI45" s="167"/>
    </row>
    <row r="46" spans="1:35" s="15" customFormat="1" ht="21.75">
      <c r="A46" s="282" t="s">
        <v>171</v>
      </c>
      <c r="B46" s="283"/>
      <c r="C46" s="15">
        <v>4449000</v>
      </c>
      <c r="E46" s="15">
        <v>1185869696</v>
      </c>
      <c r="G46" s="15">
        <v>-1186178000</v>
      </c>
      <c r="I46" s="15">
        <f t="shared" si="0"/>
        <v>-308304</v>
      </c>
      <c r="K46" s="15">
        <v>4449000</v>
      </c>
      <c r="M46" s="15">
        <v>1185869696</v>
      </c>
      <c r="O46" s="15">
        <v>-1186178000</v>
      </c>
      <c r="Q46" s="15">
        <f t="shared" si="1"/>
        <v>-308304</v>
      </c>
      <c r="X46" s="167"/>
      <c r="Y46" s="167"/>
      <c r="AB46" s="167"/>
      <c r="AC46" s="167"/>
      <c r="AD46" s="167"/>
      <c r="AE46" s="167"/>
      <c r="AF46" s="167"/>
      <c r="AH46" s="167"/>
      <c r="AI46" s="167"/>
    </row>
    <row r="47" spans="1:35" s="15" customFormat="1" ht="21.75">
      <c r="A47" s="282" t="s">
        <v>172</v>
      </c>
      <c r="B47" s="283"/>
      <c r="C47" s="15">
        <v>205000</v>
      </c>
      <c r="E47" s="15">
        <v>57410080</v>
      </c>
      <c r="G47" s="15">
        <v>-57425000</v>
      </c>
      <c r="I47" s="15">
        <f t="shared" si="0"/>
        <v>-14920</v>
      </c>
      <c r="K47" s="15">
        <v>205000</v>
      </c>
      <c r="M47" s="15">
        <v>57410080</v>
      </c>
      <c r="O47" s="15">
        <v>-57425000</v>
      </c>
      <c r="Q47" s="15">
        <f t="shared" si="1"/>
        <v>-14920</v>
      </c>
      <c r="X47" s="167"/>
      <c r="Y47" s="167"/>
      <c r="AB47" s="167"/>
      <c r="AC47" s="167"/>
      <c r="AD47" s="167"/>
      <c r="AE47" s="167"/>
      <c r="AF47" s="167"/>
      <c r="AH47" s="167"/>
      <c r="AI47" s="167"/>
    </row>
    <row r="48" spans="1:35" s="15" customFormat="1" ht="21.75">
      <c r="A48" s="282" t="s">
        <v>173</v>
      </c>
      <c r="B48" s="283"/>
      <c r="C48" s="15">
        <v>1216000</v>
      </c>
      <c r="E48" s="15">
        <v>215807882</v>
      </c>
      <c r="G48" s="15">
        <v>-215864000</v>
      </c>
      <c r="I48" s="15">
        <f t="shared" si="0"/>
        <v>-56118</v>
      </c>
      <c r="K48" s="15">
        <v>1216000</v>
      </c>
      <c r="M48" s="15">
        <v>215807882</v>
      </c>
      <c r="O48" s="15">
        <v>-215864000</v>
      </c>
      <c r="Q48" s="15">
        <f t="shared" si="1"/>
        <v>-56118</v>
      </c>
      <c r="X48" s="167"/>
      <c r="Y48" s="167"/>
      <c r="AB48" s="167"/>
      <c r="AC48" s="167"/>
      <c r="AD48" s="167"/>
      <c r="AE48" s="167"/>
      <c r="AF48" s="167"/>
      <c r="AH48" s="167"/>
      <c r="AI48" s="167"/>
    </row>
    <row r="49" spans="1:35" s="15" customFormat="1" ht="21.75">
      <c r="A49" s="282" t="s">
        <v>110</v>
      </c>
      <c r="B49" s="283"/>
      <c r="C49" s="15">
        <v>7800</v>
      </c>
      <c r="E49" s="15">
        <v>6231070415</v>
      </c>
      <c r="G49" s="15">
        <f>-5685169378-481718672</f>
        <v>-6166888050</v>
      </c>
      <c r="I49" s="15">
        <f t="shared" si="0"/>
        <v>64182365</v>
      </c>
      <c r="K49" s="15">
        <v>7842</v>
      </c>
      <c r="M49" s="15">
        <v>6263320803</v>
      </c>
      <c r="O49" s="15">
        <v>-5715781828</v>
      </c>
      <c r="Q49" s="15">
        <f t="shared" si="1"/>
        <v>547538975</v>
      </c>
      <c r="X49" s="167"/>
      <c r="Y49" s="167"/>
      <c r="AB49" s="167"/>
      <c r="AC49" s="167"/>
      <c r="AD49" s="167"/>
      <c r="AE49" s="167"/>
      <c r="AF49" s="167"/>
      <c r="AH49" s="167"/>
      <c r="AI49" s="167"/>
    </row>
    <row r="50" spans="1:35" s="15" customFormat="1" ht="21.75">
      <c r="A50" s="282" t="s">
        <v>99</v>
      </c>
      <c r="B50" s="283"/>
      <c r="C50" s="15">
        <v>10000</v>
      </c>
      <c r="E50" s="15">
        <v>8812202500</v>
      </c>
      <c r="G50" s="15">
        <f>-7986052269-720669353</f>
        <v>-8706721622</v>
      </c>
      <c r="I50" s="15">
        <f t="shared" si="0"/>
        <v>105480878</v>
      </c>
      <c r="K50" s="15">
        <v>13155</v>
      </c>
      <c r="M50" s="15">
        <v>11454313534</v>
      </c>
      <c r="O50" s="15">
        <v>-10505651758</v>
      </c>
      <c r="Q50" s="15">
        <f t="shared" si="1"/>
        <v>948661776</v>
      </c>
      <c r="X50" s="167"/>
      <c r="Y50" s="167"/>
      <c r="AB50" s="167"/>
      <c r="AC50" s="167"/>
      <c r="AD50" s="167"/>
      <c r="AE50" s="167"/>
      <c r="AF50" s="167"/>
      <c r="AH50" s="167"/>
      <c r="AI50" s="167"/>
    </row>
    <row r="51" spans="1:35" s="15" customFormat="1" ht="21.75">
      <c r="A51" s="282" t="s">
        <v>100</v>
      </c>
      <c r="B51" s="283"/>
      <c r="C51" s="15">
        <v>10000</v>
      </c>
      <c r="E51" s="15">
        <v>6816977083</v>
      </c>
      <c r="G51" s="15">
        <f>-6250666864-544601272</f>
        <v>-6795268136</v>
      </c>
      <c r="I51" s="15">
        <f t="shared" si="0"/>
        <v>21708947</v>
      </c>
      <c r="K51" s="15">
        <v>11067</v>
      </c>
      <c r="M51" s="15">
        <v>7529091831</v>
      </c>
      <c r="O51" s="15">
        <v>-6917613017</v>
      </c>
      <c r="Q51" s="15">
        <f t="shared" si="1"/>
        <v>611478814</v>
      </c>
      <c r="X51" s="167"/>
      <c r="Y51" s="167"/>
      <c r="AB51" s="167"/>
      <c r="AC51" s="167"/>
      <c r="AD51" s="167"/>
      <c r="AE51" s="167"/>
      <c r="AF51" s="167"/>
      <c r="AH51" s="167"/>
      <c r="AI51" s="167"/>
    </row>
    <row r="52" spans="1:35" s="15" customFormat="1" ht="21.75">
      <c r="A52" s="282" t="s">
        <v>152</v>
      </c>
      <c r="B52" s="283"/>
      <c r="C52" s="15">
        <v>35660</v>
      </c>
      <c r="E52" s="15">
        <v>21024891600</v>
      </c>
      <c r="G52" s="15">
        <v>-21043213186</v>
      </c>
      <c r="I52" s="15">
        <f t="shared" si="0"/>
        <v>-18321586</v>
      </c>
      <c r="K52" s="15">
        <v>35660</v>
      </c>
      <c r="M52" s="15">
        <v>21024891600</v>
      </c>
      <c r="O52" s="15">
        <v>-21043213186</v>
      </c>
      <c r="Q52" s="15">
        <f t="shared" si="1"/>
        <v>-18321586</v>
      </c>
      <c r="X52" s="167"/>
      <c r="Y52" s="167"/>
      <c r="AB52" s="159"/>
      <c r="AC52" s="167"/>
      <c r="AD52" s="167"/>
      <c r="AE52" s="167"/>
      <c r="AF52" s="167"/>
      <c r="AH52" s="167"/>
      <c r="AI52" s="167"/>
    </row>
    <row r="53" spans="1:35" s="15" customFormat="1" ht="21.75">
      <c r="A53" s="282" t="s">
        <v>149</v>
      </c>
      <c r="B53" s="283"/>
      <c r="C53" s="15">
        <v>6400</v>
      </c>
      <c r="E53" s="15">
        <v>3954850708</v>
      </c>
      <c r="G53" s="15">
        <v>-3946827230</v>
      </c>
      <c r="I53" s="15">
        <f t="shared" si="0"/>
        <v>8023478</v>
      </c>
      <c r="K53" s="15">
        <v>6400</v>
      </c>
      <c r="M53" s="15">
        <v>3954850708</v>
      </c>
      <c r="O53" s="15">
        <v>-3946827230</v>
      </c>
      <c r="Q53" s="15">
        <f t="shared" si="1"/>
        <v>8023478</v>
      </c>
      <c r="X53" s="167"/>
      <c r="Y53" s="167"/>
      <c r="Z53" s="1"/>
      <c r="AA53" s="1"/>
      <c r="AB53" s="167"/>
      <c r="AC53" s="167"/>
      <c r="AD53" s="167"/>
      <c r="AE53" s="167"/>
      <c r="AF53" s="167"/>
      <c r="AH53" s="167"/>
      <c r="AI53" s="167"/>
    </row>
    <row r="54" spans="1:35" s="15" customFormat="1" ht="22.5" thickBot="1">
      <c r="A54" s="52" t="s">
        <v>2</v>
      </c>
      <c r="B54" s="52"/>
      <c r="C54" s="52"/>
      <c r="D54" s="208"/>
      <c r="E54" s="70">
        <f>SUM(E7:E53)</f>
        <v>119139373259</v>
      </c>
      <c r="G54" s="70">
        <f>SUM(G7:G53)</f>
        <v>-121131683605</v>
      </c>
      <c r="I54" s="70">
        <f>SUM(I7:I53)</f>
        <v>-1992310346</v>
      </c>
      <c r="J54" s="67"/>
      <c r="K54" s="308"/>
      <c r="L54" s="213"/>
      <c r="M54" s="70">
        <f>SUM(M7:M53)</f>
        <v>181359760610</v>
      </c>
      <c r="O54" s="70">
        <f>SUM(O7:O53)</f>
        <v>-160162032380</v>
      </c>
      <c r="Q54" s="70">
        <f>SUM(Q7:Q53)</f>
        <v>21197728230</v>
      </c>
      <c r="Z54" s="1"/>
      <c r="AA54" s="1"/>
      <c r="AH54" s="167"/>
      <c r="AI54" s="167"/>
    </row>
    <row r="55" spans="1:35" s="15" customFormat="1" ht="23.25" thickTop="1">
      <c r="A55" s="1"/>
      <c r="B55" s="1"/>
      <c r="C55" s="208"/>
      <c r="D55" s="208"/>
      <c r="E55" s="47"/>
      <c r="F55" s="208"/>
      <c r="G55" s="47"/>
      <c r="H55" s="47"/>
      <c r="I55" s="47"/>
      <c r="J55" s="208"/>
      <c r="K55" s="208"/>
      <c r="L55" s="208"/>
      <c r="M55" s="49"/>
      <c r="N55" s="208"/>
      <c r="O55" s="49"/>
      <c r="P55" s="208"/>
      <c r="Q55" s="49"/>
      <c r="Z55" s="1"/>
      <c r="AA55" s="1"/>
      <c r="AH55" s="167"/>
      <c r="AI55" s="167"/>
    </row>
    <row r="56" spans="1:35" s="15" customFormat="1" ht="22.5">
      <c r="A56" s="58"/>
      <c r="B56" s="1"/>
      <c r="C56" s="58"/>
      <c r="D56" s="1"/>
      <c r="E56" s="47"/>
      <c r="F56" s="1"/>
      <c r="G56" s="47"/>
      <c r="H56" s="1"/>
      <c r="I56" s="47"/>
      <c r="J56" s="1"/>
      <c r="K56" s="1"/>
      <c r="L56" s="1"/>
      <c r="M56" s="47"/>
      <c r="N56" s="1"/>
      <c r="O56" s="47"/>
      <c r="P56" s="1"/>
      <c r="Q56" s="47"/>
      <c r="Z56" s="1"/>
      <c r="AA56" s="1"/>
      <c r="AH56" s="167"/>
      <c r="AI56" s="167"/>
    </row>
    <row r="57" spans="1:35" s="15" customFormat="1" ht="21.75">
      <c r="A57" s="172"/>
      <c r="B57" s="55"/>
      <c r="C57" s="172"/>
      <c r="D57" s="55"/>
      <c r="E57" s="43"/>
      <c r="F57" s="43"/>
      <c r="G57" s="43"/>
      <c r="H57" s="43"/>
      <c r="I57" s="2"/>
      <c r="J57" s="2"/>
      <c r="K57" s="2"/>
      <c r="L57" s="2"/>
      <c r="M57" s="2"/>
      <c r="N57" s="2"/>
      <c r="O57" s="2"/>
      <c r="P57" s="2"/>
      <c r="Q57" s="2"/>
      <c r="Z57" s="1"/>
      <c r="AA57" s="1"/>
      <c r="AH57" s="167"/>
      <c r="AI57" s="167"/>
    </row>
    <row r="58" spans="1:35" s="15" customFormat="1" ht="21.75">
      <c r="A58" s="393" t="s">
        <v>40</v>
      </c>
      <c r="B58" s="394"/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5"/>
      <c r="Z58" s="1"/>
      <c r="AA58" s="1"/>
    </row>
    <row r="59" spans="1:35" s="15" customFormat="1" ht="21.75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Z59" s="1"/>
      <c r="AA59" s="1"/>
    </row>
    <row r="60" spans="1:35" s="15" customFormat="1" ht="21.75">
      <c r="Z60" s="1"/>
      <c r="AA60" s="1"/>
    </row>
    <row r="61" spans="1:35" s="15" customFormat="1" ht="21.75">
      <c r="C61" s="229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1"/>
      <c r="Z61" s="1"/>
      <c r="AA61" s="1"/>
    </row>
    <row r="62" spans="1:35" s="15" customFormat="1" ht="21.75">
      <c r="C62" s="232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4"/>
      <c r="Z62" s="1"/>
      <c r="AA62" s="1"/>
    </row>
    <row r="63" spans="1:35" s="15" customFormat="1" ht="22.5">
      <c r="C63" s="229"/>
      <c r="D63" s="230"/>
      <c r="E63" s="230"/>
      <c r="F63" s="230"/>
      <c r="G63" s="230"/>
      <c r="H63" s="230"/>
      <c r="I63" s="235"/>
      <c r="J63" s="230"/>
      <c r="K63" s="230"/>
      <c r="L63" s="230"/>
      <c r="M63" s="230"/>
      <c r="N63" s="230"/>
      <c r="O63" s="230"/>
      <c r="P63" s="230"/>
      <c r="Q63" s="236"/>
      <c r="Z63" s="1"/>
      <c r="AA63" s="1"/>
    </row>
    <row r="64" spans="1:35" s="15" customFormat="1" ht="24">
      <c r="C64" s="232"/>
      <c r="D64" s="233"/>
      <c r="E64" s="237"/>
      <c r="F64" s="238"/>
      <c r="G64" s="238"/>
      <c r="H64" s="233"/>
      <c r="I64" s="239"/>
      <c r="J64" s="233"/>
      <c r="K64" s="233"/>
      <c r="L64" s="233"/>
      <c r="M64" s="237"/>
      <c r="N64" s="238"/>
      <c r="O64" s="238"/>
      <c r="P64" s="233"/>
      <c r="Q64" s="240"/>
      <c r="Z64" s="1"/>
      <c r="AA64" s="1"/>
    </row>
    <row r="65" spans="1:27" s="15" customFormat="1" ht="24">
      <c r="C65" s="229"/>
      <c r="D65" s="230"/>
      <c r="E65" s="241"/>
      <c r="F65" s="242"/>
      <c r="G65" s="242"/>
      <c r="H65" s="230"/>
      <c r="I65" s="235"/>
      <c r="J65" s="230"/>
      <c r="K65" s="230"/>
      <c r="L65" s="230"/>
      <c r="M65" s="235"/>
      <c r="N65" s="242"/>
      <c r="O65" s="242"/>
      <c r="P65" s="230"/>
      <c r="Q65" s="236"/>
      <c r="Z65" s="1"/>
      <c r="AA65" s="1"/>
    </row>
    <row r="66" spans="1:27" s="15" customFormat="1" ht="24">
      <c r="C66" s="232"/>
      <c r="D66" s="233"/>
      <c r="E66" s="237"/>
      <c r="F66" s="237"/>
      <c r="G66" s="237"/>
      <c r="H66" s="233"/>
      <c r="I66" s="239"/>
      <c r="J66" s="233"/>
      <c r="K66" s="233"/>
      <c r="L66" s="233"/>
      <c r="M66" s="239"/>
      <c r="N66" s="237"/>
      <c r="O66" s="237"/>
      <c r="P66" s="233"/>
      <c r="Q66" s="240"/>
      <c r="Z66" s="1"/>
      <c r="AA66" s="1"/>
    </row>
    <row r="67" spans="1:27" s="15" customFormat="1" ht="24">
      <c r="E67" s="31"/>
      <c r="F67" s="31"/>
      <c r="G67" s="31"/>
      <c r="M67" s="31"/>
      <c r="N67" s="31"/>
      <c r="O67" s="31"/>
      <c r="Z67" s="1"/>
      <c r="AA67" s="1"/>
    </row>
    <row r="68" spans="1:27" s="15" customFormat="1" ht="21.75">
      <c r="Z68" s="1"/>
      <c r="AA68" s="1"/>
    </row>
    <row r="69" spans="1:27" s="15" customFormat="1" ht="21.75">
      <c r="Z69" s="1"/>
      <c r="AA69" s="1"/>
    </row>
    <row r="70" spans="1:27" s="15" customFormat="1" ht="21.75">
      <c r="Z70" s="1"/>
      <c r="AA70" s="1"/>
    </row>
    <row r="71" spans="1:27" s="15" customFormat="1" ht="21.75">
      <c r="Z71" s="1"/>
      <c r="AA71" s="1"/>
    </row>
    <row r="72" spans="1:27" s="15" customFormat="1" ht="21.75">
      <c r="Z72" s="1"/>
      <c r="AA72" s="1"/>
    </row>
    <row r="73" spans="1:27" ht="21.7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27" ht="21.7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27" ht="21.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27" ht="21.7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27" ht="21.7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27" ht="21.7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27" ht="21.7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27" ht="21.7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21.7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21.7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ht="21.7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ht="21.7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21.7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21.7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ht="21.7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ht="21.7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ht="21.7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ht="21.7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ht="21.7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ht="21.7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ht="21.7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ht="21.7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ht="21.7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21.7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ht="21.7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t="21.7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ht="21.7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ht="21.7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t="21.7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</sheetData>
  <autoFilter ref="A6:Q33" xr:uid="{00000000-0009-0000-0000-000007000000}">
    <sortState xmlns:xlrd2="http://schemas.microsoft.com/office/spreadsheetml/2017/richdata2" ref="A7:Q20">
      <sortCondition ref="A6"/>
    </sortState>
  </autoFilter>
  <mergeCells count="8">
    <mergeCell ref="A1:Q1"/>
    <mergeCell ref="A2:Q2"/>
    <mergeCell ref="A3:Q3"/>
    <mergeCell ref="A58:Q58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W42"/>
  <sheetViews>
    <sheetView rightToLeft="1" view="pageBreakPreview" topLeftCell="A4" zoomScale="80" zoomScaleNormal="100" zoomScaleSheetLayoutView="80" workbookViewId="0">
      <selection activeCell="R6" sqref="R6:U28"/>
    </sheetView>
  </sheetViews>
  <sheetFormatPr defaultColWidth="9.140625" defaultRowHeight="21.75"/>
  <cols>
    <col min="1" max="1" width="43.42578125" style="1" customWidth="1"/>
    <col min="2" max="2" width="0.5703125" style="1" customWidth="1"/>
    <col min="3" max="3" width="20.28515625" style="2" bestFit="1" customWidth="1"/>
    <col min="4" max="4" width="0.85546875" style="2" customWidth="1"/>
    <col min="5" max="5" width="25.85546875" style="2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8" width="15.42578125" style="1" bestFit="1" customWidth="1"/>
    <col min="19" max="19" width="17.28515625" style="1" bestFit="1" customWidth="1"/>
    <col min="20" max="20" width="13.7109375" style="1" customWidth="1"/>
    <col min="21" max="21" width="18" style="1" customWidth="1"/>
    <col min="22" max="22" width="17" style="1" bestFit="1" customWidth="1"/>
    <col min="23" max="16384" width="9.140625" style="1"/>
  </cols>
  <sheetData>
    <row r="1" spans="1:23" ht="22.5">
      <c r="A1" s="377" t="s">
        <v>83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23" ht="22.5">
      <c r="A2" s="377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3" ht="22.5">
      <c r="A3" s="377" t="str">
        <f>درآمدها!A3</f>
        <v>برای ماه منتهی به 1403/12/30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23">
      <c r="A4" s="343" t="s">
        <v>181</v>
      </c>
      <c r="B4" s="343"/>
      <c r="C4" s="343"/>
      <c r="D4" s="343"/>
      <c r="E4" s="343"/>
      <c r="F4" s="343"/>
      <c r="G4" s="343"/>
      <c r="H4" s="343"/>
    </row>
    <row r="5" spans="1:23" ht="22.5" thickBot="1">
      <c r="A5" s="54"/>
      <c r="B5" s="54"/>
      <c r="C5" s="396" t="str">
        <f>'درآمد سرمایه گذاری در سهام '!C7</f>
        <v>طی اسفند ماه</v>
      </c>
      <c r="D5" s="396"/>
      <c r="E5" s="396"/>
      <c r="F5" s="396"/>
      <c r="G5" s="396"/>
      <c r="H5" s="396"/>
      <c r="I5" s="396"/>
      <c r="K5" s="396" t="str">
        <f>'درآمد سرمایه گذاری در سهام '!M7</f>
        <v>از ابتدای سال مالی تا پایان اسفند ماه</v>
      </c>
      <c r="L5" s="396"/>
      <c r="M5" s="396"/>
      <c r="N5" s="396"/>
      <c r="O5" s="396"/>
      <c r="P5" s="396"/>
      <c r="Q5" s="396"/>
    </row>
    <row r="6" spans="1:23" ht="22.5" thickBot="1">
      <c r="A6" s="170" t="s">
        <v>33</v>
      </c>
      <c r="B6" s="170"/>
      <c r="C6" s="26" t="s">
        <v>3</v>
      </c>
      <c r="D6" s="27"/>
      <c r="E6" s="28" t="s">
        <v>18</v>
      </c>
      <c r="F6" s="27"/>
      <c r="G6" s="26" t="s">
        <v>38</v>
      </c>
      <c r="H6" s="27"/>
      <c r="I6" s="29" t="s">
        <v>39</v>
      </c>
      <c r="K6" s="26" t="s">
        <v>3</v>
      </c>
      <c r="L6" s="27"/>
      <c r="M6" s="28" t="s">
        <v>18</v>
      </c>
      <c r="N6" s="27"/>
      <c r="O6" s="26" t="s">
        <v>38</v>
      </c>
      <c r="P6" s="27"/>
      <c r="Q6" s="29" t="s">
        <v>39</v>
      </c>
    </row>
    <row r="7" spans="1:23" s="55" customFormat="1">
      <c r="A7" s="171" t="s">
        <v>145</v>
      </c>
      <c r="C7" s="15">
        <v>4400000</v>
      </c>
      <c r="D7" s="15"/>
      <c r="E7" s="15">
        <v>9189395821</v>
      </c>
      <c r="F7" s="15"/>
      <c r="G7" s="15">
        <v>-9319039982</v>
      </c>
      <c r="H7" s="15"/>
      <c r="I7" s="15">
        <f>E7+G7</f>
        <v>-129644161</v>
      </c>
      <c r="J7" s="15"/>
      <c r="K7" s="15">
        <v>4400000</v>
      </c>
      <c r="L7" s="15"/>
      <c r="M7" s="15">
        <v>9189395821</v>
      </c>
      <c r="N7" s="15"/>
      <c r="O7" s="15">
        <v>-9319039982</v>
      </c>
      <c r="P7" s="15"/>
      <c r="Q7" s="15">
        <f>M7+O7</f>
        <v>-129644161</v>
      </c>
      <c r="R7" s="172"/>
      <c r="S7" s="172"/>
      <c r="T7" s="172"/>
      <c r="U7" s="262"/>
      <c r="V7" s="43"/>
    </row>
    <row r="8" spans="1:23" s="55" customFormat="1">
      <c r="A8" s="171" t="s">
        <v>87</v>
      </c>
      <c r="C8" s="15">
        <v>378400</v>
      </c>
      <c r="D8" s="15"/>
      <c r="E8" s="15">
        <v>3580933912</v>
      </c>
      <c r="F8" s="15"/>
      <c r="G8" s="15">
        <v>-3580933912</v>
      </c>
      <c r="H8" s="15"/>
      <c r="I8" s="15">
        <f t="shared" ref="I8:I11" si="0">E8+G8</f>
        <v>0</v>
      </c>
      <c r="J8" s="15"/>
      <c r="K8" s="15">
        <v>378400</v>
      </c>
      <c r="L8" s="15"/>
      <c r="M8" s="15">
        <v>3580933912</v>
      </c>
      <c r="N8" s="15"/>
      <c r="O8" s="15">
        <v>-2648085583</v>
      </c>
      <c r="P8" s="15"/>
      <c r="Q8" s="15">
        <f t="shared" ref="Q8:Q25" si="1">M8+O8</f>
        <v>932848329</v>
      </c>
      <c r="R8" s="172"/>
      <c r="S8" s="172"/>
      <c r="T8" s="172"/>
      <c r="U8" s="262"/>
      <c r="V8" s="43"/>
    </row>
    <row r="9" spans="1:23" s="55" customFormat="1">
      <c r="A9" s="171" t="s">
        <v>142</v>
      </c>
      <c r="C9" s="15">
        <v>21139000</v>
      </c>
      <c r="D9" s="15"/>
      <c r="E9" s="15">
        <v>9371897440</v>
      </c>
      <c r="F9" s="15"/>
      <c r="G9" s="15">
        <v>-8391694850</v>
      </c>
      <c r="H9" s="15"/>
      <c r="I9" s="15">
        <f t="shared" si="0"/>
        <v>980202590</v>
      </c>
      <c r="J9" s="15"/>
      <c r="K9" s="15">
        <v>21139000</v>
      </c>
      <c r="L9" s="15"/>
      <c r="M9" s="15">
        <v>9371897440</v>
      </c>
      <c r="N9" s="15"/>
      <c r="O9" s="15">
        <v>-9891917409</v>
      </c>
      <c r="P9" s="15"/>
      <c r="Q9" s="15">
        <f t="shared" si="1"/>
        <v>-520019969</v>
      </c>
      <c r="R9" s="172"/>
      <c r="S9" s="172"/>
      <c r="T9" s="172"/>
      <c r="U9" s="262"/>
      <c r="V9" s="43"/>
    </row>
    <row r="10" spans="1:23" s="55" customFormat="1">
      <c r="A10" s="171" t="s">
        <v>107</v>
      </c>
      <c r="C10" s="15">
        <v>26016230</v>
      </c>
      <c r="D10" s="15"/>
      <c r="E10" s="15">
        <v>33775032066</v>
      </c>
      <c r="F10" s="15"/>
      <c r="G10" s="15">
        <v>-30748677907</v>
      </c>
      <c r="H10" s="15"/>
      <c r="I10" s="15">
        <f t="shared" si="0"/>
        <v>3026354159</v>
      </c>
      <c r="J10" s="15"/>
      <c r="K10" s="15">
        <v>26016230</v>
      </c>
      <c r="L10" s="15"/>
      <c r="M10" s="15">
        <v>33775032066</v>
      </c>
      <c r="N10" s="15"/>
      <c r="O10" s="15">
        <v>-34560634540</v>
      </c>
      <c r="P10" s="15"/>
      <c r="Q10" s="15">
        <f>M10+O10</f>
        <v>-785602474</v>
      </c>
      <c r="R10" s="172"/>
      <c r="S10" s="172"/>
      <c r="T10" s="172"/>
      <c r="U10" s="262"/>
      <c r="V10" s="43"/>
    </row>
    <row r="11" spans="1:23" s="55" customFormat="1">
      <c r="A11" s="171" t="s">
        <v>146</v>
      </c>
      <c r="C11" s="15">
        <v>400000</v>
      </c>
      <c r="D11" s="15"/>
      <c r="E11" s="15">
        <v>20974455000</v>
      </c>
      <c r="F11" s="15"/>
      <c r="G11" s="15">
        <v>-19230253564</v>
      </c>
      <c r="H11" s="15"/>
      <c r="I11" s="15">
        <f t="shared" si="0"/>
        <v>1744201436</v>
      </c>
      <c r="J11" s="15"/>
      <c r="K11" s="15">
        <v>400000</v>
      </c>
      <c r="L11" s="15"/>
      <c r="M11" s="15">
        <v>20974455000</v>
      </c>
      <c r="N11" s="15"/>
      <c r="O11" s="15">
        <v>-19230253564</v>
      </c>
      <c r="P11" s="15"/>
      <c r="Q11" s="15">
        <f t="shared" si="1"/>
        <v>1744201436</v>
      </c>
      <c r="R11" s="172"/>
      <c r="S11" s="172"/>
      <c r="T11" s="172"/>
      <c r="U11" s="262"/>
      <c r="V11" s="43"/>
    </row>
    <row r="12" spans="1:23" s="55" customFormat="1">
      <c r="A12" s="171" t="s">
        <v>172</v>
      </c>
      <c r="C12" s="15">
        <v>205000</v>
      </c>
      <c r="D12" s="15"/>
      <c r="E12" s="15">
        <v>53300000</v>
      </c>
      <c r="F12" s="15"/>
      <c r="G12" s="15">
        <v>-49175000</v>
      </c>
      <c r="H12" s="15"/>
      <c r="I12" s="269">
        <v>4125000</v>
      </c>
      <c r="J12" s="15"/>
      <c r="K12" s="15">
        <v>205000</v>
      </c>
      <c r="L12" s="15"/>
      <c r="M12" s="15">
        <v>53300000</v>
      </c>
      <c r="N12" s="15"/>
      <c r="O12" s="15">
        <v>-49175000</v>
      </c>
      <c r="P12" s="15"/>
      <c r="Q12" s="15">
        <v>4125000</v>
      </c>
      <c r="R12" s="172"/>
      <c r="S12" s="172"/>
      <c r="T12" s="172"/>
      <c r="U12" s="262"/>
      <c r="V12" s="43"/>
    </row>
    <row r="13" spans="1:23">
      <c r="A13" s="171" t="s">
        <v>168</v>
      </c>
      <c r="B13" s="55"/>
      <c r="C13" s="15">
        <v>21276000</v>
      </c>
      <c r="D13" s="15"/>
      <c r="E13" s="15">
        <v>4531788000</v>
      </c>
      <c r="F13" s="15"/>
      <c r="G13" s="15">
        <v>-3774150000</v>
      </c>
      <c r="H13" s="15"/>
      <c r="I13" s="15">
        <f t="shared" ref="I13:I24" si="2">E13+G13</f>
        <v>757638000</v>
      </c>
      <c r="J13" s="15"/>
      <c r="K13" s="15">
        <v>21276000</v>
      </c>
      <c r="L13" s="15"/>
      <c r="M13" s="15">
        <v>4531788000</v>
      </c>
      <c r="N13" s="15"/>
      <c r="O13" s="15">
        <v>-3774150000</v>
      </c>
      <c r="P13" s="15"/>
      <c r="Q13" s="15">
        <f t="shared" ref="Q13:Q24" si="3">M13+O13</f>
        <v>757638000</v>
      </c>
      <c r="R13" s="172"/>
      <c r="S13" s="172"/>
      <c r="T13" s="172"/>
      <c r="U13" s="262"/>
      <c r="V13" s="16"/>
      <c r="W13" s="55"/>
    </row>
    <row r="14" spans="1:23">
      <c r="A14" s="171" t="s">
        <v>162</v>
      </c>
      <c r="B14" s="55"/>
      <c r="C14" s="15">
        <v>3000000</v>
      </c>
      <c r="D14" s="15"/>
      <c r="E14" s="15">
        <v>360000000</v>
      </c>
      <c r="F14" s="15"/>
      <c r="G14" s="15">
        <v>-92000000</v>
      </c>
      <c r="H14" s="15"/>
      <c r="I14" s="15">
        <f t="shared" si="2"/>
        <v>268000000</v>
      </c>
      <c r="J14" s="15"/>
      <c r="K14" s="15">
        <v>3000000</v>
      </c>
      <c r="L14" s="15"/>
      <c r="M14" s="15">
        <v>360000000</v>
      </c>
      <c r="N14" s="15"/>
      <c r="O14" s="15">
        <v>-92000000</v>
      </c>
      <c r="P14" s="15"/>
      <c r="Q14" s="15">
        <f t="shared" si="3"/>
        <v>268000000</v>
      </c>
      <c r="R14" s="172"/>
      <c r="S14" s="172"/>
      <c r="T14" s="172"/>
      <c r="U14" s="262"/>
      <c r="V14" s="16"/>
      <c r="W14" s="55"/>
    </row>
    <row r="15" spans="1:23">
      <c r="A15" s="171" t="s">
        <v>164</v>
      </c>
      <c r="B15" s="55"/>
      <c r="C15" s="15">
        <v>1630000</v>
      </c>
      <c r="D15" s="15"/>
      <c r="E15" s="15">
        <v>74980000</v>
      </c>
      <c r="F15" s="15"/>
      <c r="G15" s="15">
        <v>133624000</v>
      </c>
      <c r="H15" s="15"/>
      <c r="I15" s="15">
        <f t="shared" si="2"/>
        <v>208604000</v>
      </c>
      <c r="J15" s="15"/>
      <c r="K15" s="15">
        <v>1630000</v>
      </c>
      <c r="L15" s="15"/>
      <c r="M15" s="15">
        <v>74980000</v>
      </c>
      <c r="N15" s="15"/>
      <c r="O15" s="15">
        <v>133624000</v>
      </c>
      <c r="P15" s="15"/>
      <c r="Q15" s="15">
        <f t="shared" si="3"/>
        <v>208604000</v>
      </c>
      <c r="R15" s="172"/>
      <c r="S15" s="172"/>
      <c r="T15" s="172"/>
      <c r="U15" s="262"/>
      <c r="V15" s="16"/>
      <c r="W15" s="55"/>
    </row>
    <row r="16" spans="1:23">
      <c r="A16" s="171" t="s">
        <v>167</v>
      </c>
      <c r="B16" s="55"/>
      <c r="C16" s="15">
        <v>110000</v>
      </c>
      <c r="D16" s="15"/>
      <c r="E16" s="15">
        <v>27280000</v>
      </c>
      <c r="F16" s="15"/>
      <c r="G16" s="15">
        <v>-23650000</v>
      </c>
      <c r="H16" s="15"/>
      <c r="I16" s="15">
        <f t="shared" si="2"/>
        <v>3630000</v>
      </c>
      <c r="J16" s="15"/>
      <c r="K16" s="15">
        <v>110000</v>
      </c>
      <c r="L16" s="15"/>
      <c r="M16" s="15">
        <v>27280000</v>
      </c>
      <c r="N16" s="15"/>
      <c r="O16" s="15">
        <v>-23650000</v>
      </c>
      <c r="P16" s="15"/>
      <c r="Q16" s="15">
        <f t="shared" si="3"/>
        <v>3630000</v>
      </c>
      <c r="R16" s="172"/>
      <c r="S16" s="172"/>
      <c r="T16" s="172"/>
      <c r="U16" s="262"/>
      <c r="W16" s="55"/>
    </row>
    <row r="17" spans="1:23" s="31" customFormat="1" ht="24">
      <c r="A17" s="171" t="s">
        <v>170</v>
      </c>
      <c r="B17" s="55"/>
      <c r="C17" s="15">
        <v>4985000</v>
      </c>
      <c r="D17" s="15"/>
      <c r="E17" s="15">
        <v>1171475000</v>
      </c>
      <c r="F17" s="15"/>
      <c r="G17" s="15">
        <v>-1052600000</v>
      </c>
      <c r="H17" s="15"/>
      <c r="I17" s="15">
        <f t="shared" si="2"/>
        <v>118875000</v>
      </c>
      <c r="J17" s="15"/>
      <c r="K17" s="15">
        <v>4985000</v>
      </c>
      <c r="L17" s="15"/>
      <c r="M17" s="15">
        <v>1171475000</v>
      </c>
      <c r="N17" s="15"/>
      <c r="O17" s="15">
        <v>-1052600000</v>
      </c>
      <c r="P17" s="15"/>
      <c r="Q17" s="15">
        <f t="shared" si="3"/>
        <v>118875000</v>
      </c>
      <c r="R17" s="172"/>
      <c r="S17" s="172"/>
      <c r="T17" s="172"/>
      <c r="U17" s="262"/>
    </row>
    <row r="18" spans="1:23">
      <c r="A18" s="171" t="s">
        <v>161</v>
      </c>
      <c r="B18" s="55"/>
      <c r="C18" s="15">
        <v>7806000</v>
      </c>
      <c r="D18" s="15"/>
      <c r="E18" s="15">
        <v>1061616000</v>
      </c>
      <c r="F18" s="15"/>
      <c r="G18" s="15">
        <v>-803804000</v>
      </c>
      <c r="H18" s="15"/>
      <c r="I18" s="15">
        <f t="shared" si="2"/>
        <v>257812000</v>
      </c>
      <c r="J18" s="15"/>
      <c r="K18" s="15">
        <v>7806000</v>
      </c>
      <c r="L18" s="15"/>
      <c r="M18" s="15">
        <v>1061616000</v>
      </c>
      <c r="N18" s="15"/>
      <c r="O18" s="15">
        <v>-803804000</v>
      </c>
      <c r="P18" s="15"/>
      <c r="Q18" s="15">
        <f t="shared" si="3"/>
        <v>257812000</v>
      </c>
      <c r="R18" s="172"/>
      <c r="S18" s="172"/>
      <c r="T18" s="172"/>
      <c r="U18" s="262"/>
    </row>
    <row r="19" spans="1:23">
      <c r="A19" s="171" t="s">
        <v>163</v>
      </c>
      <c r="B19" s="55"/>
      <c r="C19" s="15">
        <v>4399728</v>
      </c>
      <c r="D19" s="15"/>
      <c r="E19" s="15">
        <v>536766816</v>
      </c>
      <c r="F19" s="15"/>
      <c r="G19" s="15">
        <v>94372632</v>
      </c>
      <c r="H19" s="15"/>
      <c r="I19" s="15">
        <f t="shared" si="2"/>
        <v>631139448</v>
      </c>
      <c r="J19" s="15"/>
      <c r="K19" s="15">
        <v>4399728</v>
      </c>
      <c r="L19" s="15"/>
      <c r="M19" s="15">
        <v>536766816</v>
      </c>
      <c r="N19" s="15"/>
      <c r="O19" s="15">
        <v>94372632</v>
      </c>
      <c r="P19" s="15"/>
      <c r="Q19" s="15">
        <f t="shared" si="3"/>
        <v>631139448</v>
      </c>
      <c r="R19" s="172"/>
      <c r="S19" s="172"/>
      <c r="T19" s="172"/>
      <c r="U19" s="262"/>
    </row>
    <row r="20" spans="1:23">
      <c r="A20" s="171" t="s">
        <v>165</v>
      </c>
      <c r="B20" s="55"/>
      <c r="C20" s="15">
        <v>400000</v>
      </c>
      <c r="D20" s="15"/>
      <c r="E20" s="15">
        <v>3647200000</v>
      </c>
      <c r="F20" s="15"/>
      <c r="G20" s="15">
        <v>-5374400000</v>
      </c>
      <c r="H20" s="15"/>
      <c r="I20" s="15">
        <f t="shared" si="2"/>
        <v>-1727200000</v>
      </c>
      <c r="J20" s="15"/>
      <c r="K20" s="15">
        <v>400000</v>
      </c>
      <c r="L20" s="15"/>
      <c r="M20" s="15">
        <v>3647200000</v>
      </c>
      <c r="N20" s="15"/>
      <c r="O20" s="15">
        <v>-5374400000</v>
      </c>
      <c r="P20" s="15"/>
      <c r="Q20" s="15">
        <f t="shared" si="3"/>
        <v>-1727200000</v>
      </c>
      <c r="R20" s="172"/>
      <c r="S20" s="172"/>
      <c r="T20" s="172"/>
      <c r="U20" s="262"/>
    </row>
    <row r="21" spans="1:23">
      <c r="A21" s="171" t="s">
        <v>171</v>
      </c>
      <c r="B21" s="55"/>
      <c r="C21" s="15">
        <v>4449000</v>
      </c>
      <c r="D21" s="15"/>
      <c r="E21" s="15">
        <v>1081107000</v>
      </c>
      <c r="F21" s="15"/>
      <c r="G21" s="15">
        <v>-976036000</v>
      </c>
      <c r="H21" s="15"/>
      <c r="I21" s="15">
        <f t="shared" si="2"/>
        <v>105071000</v>
      </c>
      <c r="J21" s="15"/>
      <c r="K21" s="15">
        <v>4449000</v>
      </c>
      <c r="L21" s="15"/>
      <c r="M21" s="15">
        <v>1081107000</v>
      </c>
      <c r="N21" s="15"/>
      <c r="O21" s="15">
        <v>-976036000</v>
      </c>
      <c r="P21" s="15"/>
      <c r="Q21" s="15">
        <f t="shared" si="3"/>
        <v>105071000</v>
      </c>
      <c r="R21" s="172"/>
      <c r="S21" s="172"/>
      <c r="T21" s="172"/>
      <c r="U21" s="262"/>
    </row>
    <row r="22" spans="1:23">
      <c r="A22" s="171" t="s">
        <v>169</v>
      </c>
      <c r="B22" s="55"/>
      <c r="C22" s="15">
        <v>1140000</v>
      </c>
      <c r="D22" s="15"/>
      <c r="E22" s="15">
        <v>181260000</v>
      </c>
      <c r="F22" s="15"/>
      <c r="G22" s="15">
        <v>-158290000</v>
      </c>
      <c r="H22" s="15"/>
      <c r="I22" s="15">
        <f t="shared" si="2"/>
        <v>22970000</v>
      </c>
      <c r="J22" s="15"/>
      <c r="K22" s="15">
        <v>1140000</v>
      </c>
      <c r="L22" s="15"/>
      <c r="M22" s="15">
        <v>181260000</v>
      </c>
      <c r="N22" s="15"/>
      <c r="O22" s="15">
        <v>-158290000</v>
      </c>
      <c r="P22" s="15"/>
      <c r="Q22" s="15">
        <f t="shared" si="3"/>
        <v>22970000</v>
      </c>
      <c r="R22" s="172"/>
      <c r="S22" s="172"/>
      <c r="T22" s="172"/>
      <c r="U22" s="262"/>
    </row>
    <row r="23" spans="1:23">
      <c r="A23" s="171" t="s">
        <v>166</v>
      </c>
      <c r="B23" s="55"/>
      <c r="C23" s="15">
        <v>938000</v>
      </c>
      <c r="D23" s="15"/>
      <c r="E23" s="15">
        <v>246694000</v>
      </c>
      <c r="F23" s="15"/>
      <c r="G23" s="15">
        <v>-233861000</v>
      </c>
      <c r="H23" s="15"/>
      <c r="I23" s="15">
        <f t="shared" si="2"/>
        <v>12833000</v>
      </c>
      <c r="J23" s="15"/>
      <c r="K23" s="15">
        <v>938000</v>
      </c>
      <c r="L23" s="15"/>
      <c r="M23" s="15">
        <v>246694000</v>
      </c>
      <c r="N23" s="15"/>
      <c r="O23" s="15">
        <v>-233861000</v>
      </c>
      <c r="P23" s="15"/>
      <c r="Q23" s="15">
        <f t="shared" si="3"/>
        <v>12833000</v>
      </c>
      <c r="R23" s="172"/>
      <c r="S23" s="172"/>
      <c r="T23" s="172"/>
      <c r="U23" s="262"/>
    </row>
    <row r="24" spans="1:23">
      <c r="A24" s="171" t="s">
        <v>173</v>
      </c>
      <c r="B24" s="55"/>
      <c r="C24" s="15">
        <v>1216000</v>
      </c>
      <c r="D24" s="15"/>
      <c r="E24" s="15">
        <v>196992000</v>
      </c>
      <c r="F24" s="15"/>
      <c r="G24" s="15">
        <v>-178120000</v>
      </c>
      <c r="H24" s="15"/>
      <c r="I24" s="15">
        <f t="shared" si="2"/>
        <v>18872000</v>
      </c>
      <c r="J24" s="15"/>
      <c r="K24" s="15">
        <v>1216000</v>
      </c>
      <c r="L24" s="15"/>
      <c r="M24" s="15">
        <v>196992000</v>
      </c>
      <c r="N24" s="15"/>
      <c r="O24" s="15">
        <v>-178120000</v>
      </c>
      <c r="P24" s="15"/>
      <c r="Q24" s="15">
        <f t="shared" si="3"/>
        <v>18872000</v>
      </c>
      <c r="R24" s="172"/>
      <c r="S24" s="172"/>
      <c r="T24" s="172"/>
      <c r="U24" s="262"/>
    </row>
    <row r="25" spans="1:23" s="208" customFormat="1">
      <c r="A25" s="267" t="s">
        <v>154</v>
      </c>
      <c r="B25" s="268"/>
      <c r="C25" s="15">
        <v>50000</v>
      </c>
      <c r="D25" s="15"/>
      <c r="E25" s="15">
        <v>49591010000</v>
      </c>
      <c r="F25" s="15"/>
      <c r="G25" s="15">
        <v>-50000000000</v>
      </c>
      <c r="H25" s="15"/>
      <c r="I25" s="309">
        <f t="shared" ref="I25" si="4">E25+G25</f>
        <v>-408990000</v>
      </c>
      <c r="J25" s="15"/>
      <c r="K25" s="15">
        <v>50000</v>
      </c>
      <c r="L25" s="15"/>
      <c r="M25" s="15">
        <v>49591010000</v>
      </c>
      <c r="N25" s="15"/>
      <c r="O25" s="15">
        <v>-50000000000</v>
      </c>
      <c r="P25" s="15"/>
      <c r="Q25" s="15">
        <f t="shared" si="1"/>
        <v>-408990000</v>
      </c>
      <c r="R25" s="172"/>
      <c r="S25" s="172"/>
      <c r="T25" s="172"/>
      <c r="U25" s="262"/>
      <c r="V25" s="16"/>
      <c r="W25" s="268"/>
    </row>
    <row r="26" spans="1:23" ht="23.25" thickBot="1">
      <c r="A26" s="173"/>
      <c r="B26" s="173"/>
      <c r="C26" s="214"/>
      <c r="D26" s="214"/>
      <c r="E26" s="70">
        <f>SUM(E7:E25)</f>
        <v>139653183055</v>
      </c>
      <c r="F26" s="15"/>
      <c r="G26" s="70">
        <f>SUM(G7:G25)</f>
        <v>-133758689583</v>
      </c>
      <c r="H26" s="15"/>
      <c r="I26" s="70">
        <f>SUM(I7:I25)</f>
        <v>5894493472</v>
      </c>
      <c r="J26" s="30"/>
      <c r="K26" s="15"/>
      <c r="L26" s="30"/>
      <c r="M26" s="70">
        <f>SUM(M7:M25)</f>
        <v>139653183055</v>
      </c>
      <c r="N26" s="15"/>
      <c r="O26" s="70">
        <f>SUM(O7:O25)</f>
        <v>-138138020446</v>
      </c>
      <c r="P26" s="15"/>
      <c r="Q26" s="70">
        <f>SUM(Q7:Q25)</f>
        <v>1515162609</v>
      </c>
    </row>
    <row r="27" spans="1:23" ht="23.25" thickTop="1">
      <c r="A27" s="54"/>
      <c r="B27" s="54"/>
      <c r="C27" s="158"/>
      <c r="D27" s="54"/>
      <c r="E27" s="50"/>
      <c r="F27" s="30"/>
      <c r="G27" s="50"/>
      <c r="H27" s="30"/>
      <c r="I27" s="50"/>
      <c r="J27" s="30"/>
      <c r="K27" s="158"/>
      <c r="L27" s="30"/>
      <c r="M27" s="50"/>
      <c r="N27" s="30"/>
      <c r="O27" s="50"/>
      <c r="P27" s="30"/>
      <c r="Q27" s="50"/>
    </row>
    <row r="28" spans="1:23" ht="22.5">
      <c r="A28" s="54"/>
      <c r="B28" s="54"/>
      <c r="C28" s="158"/>
      <c r="D28" s="54"/>
      <c r="E28" s="50"/>
      <c r="F28" s="30"/>
      <c r="G28" s="50"/>
      <c r="H28" s="30"/>
      <c r="I28" s="50"/>
      <c r="J28" s="30"/>
      <c r="K28" s="158"/>
      <c r="L28" s="30"/>
      <c r="M28" s="50"/>
      <c r="N28" s="30"/>
      <c r="O28" s="50"/>
      <c r="P28" s="30"/>
      <c r="Q28" s="50"/>
    </row>
    <row r="29" spans="1:23">
      <c r="A29" s="54"/>
      <c r="B29" s="54"/>
    </row>
    <row r="30" spans="1:23" ht="18">
      <c r="A30" s="399" t="s">
        <v>40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1"/>
    </row>
    <row r="31" spans="1:23">
      <c r="Q31" s="174"/>
    </row>
    <row r="32" spans="1:23" ht="2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3:19">
      <c r="C33" s="229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1"/>
    </row>
    <row r="34" spans="3:19">
      <c r="C34" s="232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4"/>
    </row>
    <row r="35" spans="3:19">
      <c r="C35" s="254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6"/>
      <c r="R35" s="159"/>
      <c r="S35" s="58"/>
    </row>
    <row r="36" spans="3:19" ht="24">
      <c r="C36" s="257"/>
      <c r="D36" s="258"/>
      <c r="E36" s="259"/>
      <c r="F36" s="260"/>
      <c r="G36" s="258"/>
      <c r="H36" s="258"/>
      <c r="I36" s="258"/>
      <c r="J36" s="258"/>
      <c r="K36" s="258"/>
      <c r="L36" s="258"/>
      <c r="M36" s="259"/>
      <c r="N36" s="260"/>
      <c r="O36" s="258"/>
      <c r="P36" s="258"/>
      <c r="Q36" s="261"/>
    </row>
    <row r="37" spans="3:19" ht="24">
      <c r="C37" s="245"/>
      <c r="D37" s="246"/>
      <c r="E37" s="246"/>
      <c r="F37" s="247"/>
      <c r="G37" s="246"/>
      <c r="H37" s="248"/>
      <c r="I37" s="246"/>
      <c r="J37" s="248"/>
      <c r="K37" s="246"/>
      <c r="L37" s="246"/>
      <c r="M37" s="246"/>
      <c r="N37" s="247"/>
      <c r="O37" s="246"/>
      <c r="P37" s="248"/>
      <c r="Q37" s="249"/>
    </row>
    <row r="38" spans="3:19" ht="24">
      <c r="C38" s="250"/>
      <c r="D38" s="251"/>
      <c r="E38" s="251"/>
      <c r="F38" s="251"/>
      <c r="G38" s="251"/>
      <c r="H38" s="252"/>
      <c r="I38" s="251"/>
      <c r="J38" s="252"/>
      <c r="K38" s="251"/>
      <c r="L38" s="251"/>
      <c r="M38" s="251"/>
      <c r="N38" s="251"/>
      <c r="O38" s="251"/>
      <c r="P38" s="252"/>
      <c r="Q38" s="253"/>
    </row>
    <row r="39" spans="3:19" ht="24">
      <c r="E39" s="31"/>
      <c r="F39" s="31"/>
      <c r="G39" s="31"/>
      <c r="I39" s="31"/>
      <c r="K39" s="31"/>
      <c r="L39" s="31"/>
      <c r="M39" s="31"/>
      <c r="N39" s="31"/>
      <c r="O39" s="31"/>
      <c r="Q39" s="31"/>
    </row>
    <row r="40" spans="3:19" ht="22.5">
      <c r="E40" s="124"/>
    </row>
    <row r="41" spans="3:19" ht="24">
      <c r="E41" s="31"/>
    </row>
    <row r="42" spans="3:19" ht="24">
      <c r="E42" s="31"/>
    </row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0:Q30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CB34-F618-4DAE-BB6E-C4DCB5B42031}">
  <sheetPr>
    <pageSetUpPr fitToPage="1"/>
  </sheetPr>
  <dimension ref="A1:AF178"/>
  <sheetViews>
    <sheetView rightToLeft="1" view="pageBreakPreview" topLeftCell="A3" zoomScale="57" zoomScaleNormal="100" zoomScaleSheetLayoutView="57" workbookViewId="0">
      <selection activeCell="C23" sqref="C23:X23"/>
    </sheetView>
  </sheetViews>
  <sheetFormatPr defaultColWidth="9.140625" defaultRowHeight="30.75"/>
  <cols>
    <col min="1" max="1" width="55.42578125" style="130" bestFit="1" customWidth="1"/>
    <col min="2" max="2" width="1.85546875" style="130" customWidth="1"/>
    <col min="3" max="3" width="22.5703125" style="4" customWidth="1"/>
    <col min="4" max="4" width="1.140625" style="4" customWidth="1"/>
    <col min="5" max="5" width="23.7109375" style="4" bestFit="1" customWidth="1"/>
    <col min="6" max="6" width="1.42578125" style="4" customWidth="1"/>
    <col min="7" max="7" width="23.140625" style="4" bestFit="1" customWidth="1"/>
    <col min="8" max="8" width="1.5703125" style="4" customWidth="1"/>
    <col min="9" max="9" width="17.140625" style="4" bestFit="1" customWidth="1"/>
    <col min="10" max="10" width="23.7109375" style="4" bestFit="1" customWidth="1"/>
    <col min="11" max="11" width="1.42578125" style="4" customWidth="1"/>
    <col min="12" max="12" width="18.85546875" style="4" bestFit="1" customWidth="1"/>
    <col min="13" max="13" width="23.7109375" style="4" bestFit="1" customWidth="1"/>
    <col min="14" max="14" width="1.140625" style="4" customWidth="1"/>
    <col min="15" max="15" width="17.28515625" style="4" customWidth="1"/>
    <col min="16" max="16" width="1.42578125" style="4" customWidth="1"/>
    <col min="17" max="17" width="14.5703125" style="4" customWidth="1"/>
    <col min="18" max="18" width="1.5703125" style="4" customWidth="1"/>
    <col min="19" max="19" width="22.85546875" style="4" bestFit="1" customWidth="1"/>
    <col min="20" max="20" width="1.85546875" style="4" customWidth="1"/>
    <col min="21" max="21" width="22.85546875" style="4" bestFit="1" customWidth="1"/>
    <col min="22" max="22" width="1.5703125" style="130" customWidth="1"/>
    <col min="23" max="23" width="23.5703125" style="9" bestFit="1" customWidth="1"/>
    <col min="24" max="24" width="18.140625" style="4" bestFit="1" customWidth="1"/>
    <col min="25" max="25" width="22.85546875" style="130" bestFit="1" customWidth="1"/>
    <col min="26" max="26" width="21.140625" style="5" bestFit="1" customWidth="1"/>
    <col min="27" max="27" width="14.85546875" style="5" bestFit="1" customWidth="1"/>
    <col min="28" max="28" width="17.140625" style="130" bestFit="1" customWidth="1"/>
    <col min="29" max="16384" width="9.140625" style="130"/>
  </cols>
  <sheetData>
    <row r="1" spans="1:32" ht="31.5">
      <c r="A1" s="313" t="s">
        <v>83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</row>
    <row r="2" spans="1:32" ht="31.5">
      <c r="A2" s="313" t="s">
        <v>46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</row>
    <row r="3" spans="1:32" ht="31.5">
      <c r="A3" s="313" t="s">
        <v>160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</row>
    <row r="4" spans="1:32" ht="31.5">
      <c r="A4" s="314" t="s">
        <v>22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5" spans="1:32" ht="31.5">
      <c r="A5" s="314" t="s">
        <v>23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</row>
    <row r="7" spans="1:32" ht="36.75" customHeight="1" thickBot="1">
      <c r="A7" s="131"/>
      <c r="B7" s="132"/>
      <c r="C7" s="315" t="s">
        <v>141</v>
      </c>
      <c r="D7" s="315"/>
      <c r="E7" s="315"/>
      <c r="F7" s="315"/>
      <c r="G7" s="315"/>
      <c r="H7" s="6"/>
      <c r="I7" s="316" t="s">
        <v>7</v>
      </c>
      <c r="J7" s="316"/>
      <c r="K7" s="316"/>
      <c r="L7" s="316"/>
      <c r="M7" s="316"/>
      <c r="O7" s="317" t="s">
        <v>147</v>
      </c>
      <c r="P7" s="317"/>
      <c r="Q7" s="317"/>
      <c r="R7" s="317"/>
      <c r="S7" s="317"/>
      <c r="T7" s="317"/>
      <c r="U7" s="317"/>
      <c r="V7" s="317"/>
      <c r="W7" s="317"/>
    </row>
    <row r="8" spans="1:32" ht="29.25" customHeight="1">
      <c r="A8" s="318" t="s">
        <v>1</v>
      </c>
      <c r="B8" s="133"/>
      <c r="C8" s="320" t="s">
        <v>3</v>
      </c>
      <c r="D8" s="311"/>
      <c r="E8" s="320" t="s">
        <v>0</v>
      </c>
      <c r="F8" s="311"/>
      <c r="G8" s="311" t="s">
        <v>18</v>
      </c>
      <c r="H8" s="48"/>
      <c r="I8" s="325" t="s">
        <v>4</v>
      </c>
      <c r="J8" s="325"/>
      <c r="K8" s="7"/>
      <c r="L8" s="325" t="s">
        <v>5</v>
      </c>
      <c r="M8" s="325"/>
      <c r="O8" s="320" t="s">
        <v>3</v>
      </c>
      <c r="P8" s="322"/>
      <c r="Q8" s="311" t="s">
        <v>30</v>
      </c>
      <c r="R8" s="270"/>
      <c r="S8" s="320" t="s">
        <v>0</v>
      </c>
      <c r="T8" s="322"/>
      <c r="U8" s="311" t="s">
        <v>18</v>
      </c>
      <c r="V8" s="134"/>
      <c r="W8" s="323" t="s">
        <v>19</v>
      </c>
    </row>
    <row r="9" spans="1:32" ht="49.5" customHeight="1" thickBot="1">
      <c r="A9" s="319"/>
      <c r="B9" s="133"/>
      <c r="C9" s="321"/>
      <c r="D9" s="322"/>
      <c r="E9" s="321"/>
      <c r="F9" s="322"/>
      <c r="G9" s="312"/>
      <c r="H9" s="48"/>
      <c r="I9" s="106" t="s">
        <v>3</v>
      </c>
      <c r="J9" s="106" t="s">
        <v>0</v>
      </c>
      <c r="K9" s="7"/>
      <c r="L9" s="106" t="s">
        <v>3</v>
      </c>
      <c r="M9" s="106" t="s">
        <v>45</v>
      </c>
      <c r="O9" s="321"/>
      <c r="P9" s="322"/>
      <c r="Q9" s="312"/>
      <c r="R9" s="270"/>
      <c r="S9" s="321"/>
      <c r="T9" s="322"/>
      <c r="U9" s="312"/>
      <c r="V9" s="134"/>
      <c r="W9" s="324"/>
    </row>
    <row r="10" spans="1:32" ht="28.5" customHeight="1">
      <c r="A10" s="4" t="s">
        <v>145</v>
      </c>
      <c r="C10" s="200">
        <v>0</v>
      </c>
      <c r="E10" s="4">
        <v>0</v>
      </c>
      <c r="F10" s="4">
        <v>1960266600</v>
      </c>
      <c r="G10" s="200">
        <v>0</v>
      </c>
      <c r="I10" s="4">
        <v>4400000</v>
      </c>
      <c r="J10" s="4">
        <v>9319039982</v>
      </c>
      <c r="K10" s="135"/>
      <c r="L10" s="4">
        <v>0</v>
      </c>
      <c r="M10" s="4">
        <v>0</v>
      </c>
      <c r="O10" s="4">
        <v>4400000</v>
      </c>
      <c r="Q10" s="201">
        <v>2101</v>
      </c>
      <c r="S10" s="4">
        <v>9319039982</v>
      </c>
      <c r="U10" s="200">
        <v>9189395821</v>
      </c>
      <c r="V10" s="135"/>
      <c r="W10" s="8">
        <f>U10/[1]درآمدها!$J$6</f>
        <v>4.9574991820359869E-2</v>
      </c>
      <c r="Y10" s="136"/>
      <c r="Z10" s="244"/>
      <c r="AB10" s="136"/>
      <c r="AC10" s="53"/>
      <c r="AD10" s="136"/>
      <c r="AE10" s="53"/>
      <c r="AF10" s="136"/>
    </row>
    <row r="11" spans="1:32" ht="28.5" customHeight="1">
      <c r="A11" s="4" t="s">
        <v>95</v>
      </c>
      <c r="C11" s="200">
        <v>23000</v>
      </c>
      <c r="E11" s="4">
        <v>587934524</v>
      </c>
      <c r="F11" s="4">
        <v>3682955250</v>
      </c>
      <c r="G11" s="200">
        <v>939675466</v>
      </c>
      <c r="I11" s="4">
        <v>0</v>
      </c>
      <c r="J11" s="4">
        <v>0</v>
      </c>
      <c r="K11" s="135"/>
      <c r="L11" s="4">
        <v>23000</v>
      </c>
      <c r="M11" s="4">
        <v>914526000</v>
      </c>
      <c r="O11" s="4">
        <v>0</v>
      </c>
      <c r="Q11" s="201">
        <v>0</v>
      </c>
      <c r="S11" s="4">
        <v>0</v>
      </c>
      <c r="U11" s="200">
        <v>0</v>
      </c>
      <c r="V11" s="135"/>
      <c r="W11" s="8">
        <f>U11/[1]درآمدها!$J$6</f>
        <v>0</v>
      </c>
      <c r="Y11" s="136"/>
      <c r="Z11" s="244"/>
      <c r="AB11" s="136"/>
      <c r="AC11" s="53"/>
      <c r="AD11" s="136"/>
      <c r="AE11" s="53"/>
      <c r="AF11" s="136"/>
    </row>
    <row r="12" spans="1:32" ht="28.5" customHeight="1">
      <c r="A12" s="4" t="s">
        <v>87</v>
      </c>
      <c r="C12" s="200">
        <v>378400</v>
      </c>
      <c r="E12" s="4">
        <v>4033994637</v>
      </c>
      <c r="G12" s="200">
        <v>3580933912</v>
      </c>
      <c r="I12" s="4">
        <v>0</v>
      </c>
      <c r="J12" s="4">
        <v>0</v>
      </c>
      <c r="K12" s="135"/>
      <c r="L12" s="4">
        <v>0</v>
      </c>
      <c r="M12" s="4">
        <v>0</v>
      </c>
      <c r="O12" s="4">
        <v>378400</v>
      </c>
      <c r="Q12" s="201">
        <v>9520</v>
      </c>
      <c r="S12" s="4">
        <v>4033994637</v>
      </c>
      <c r="U12" s="200">
        <v>3580933912</v>
      </c>
      <c r="V12" s="135"/>
      <c r="W12" s="8">
        <f>U12/[1]درآمدها!$J$6</f>
        <v>1.9318437561581803E-2</v>
      </c>
      <c r="Y12" s="136"/>
      <c r="Z12" s="244"/>
      <c r="AB12" s="136"/>
      <c r="AC12" s="53"/>
      <c r="AD12" s="136"/>
      <c r="AE12" s="53"/>
      <c r="AF12" s="136"/>
    </row>
    <row r="13" spans="1:32" ht="28.5" customHeight="1">
      <c r="A13" s="4" t="s">
        <v>93</v>
      </c>
      <c r="C13" s="200">
        <v>27000</v>
      </c>
      <c r="E13" s="4">
        <v>635141508</v>
      </c>
      <c r="F13" s="4">
        <v>1050223768</v>
      </c>
      <c r="G13" s="200">
        <v>1411749811</v>
      </c>
      <c r="I13" s="4">
        <v>0</v>
      </c>
      <c r="J13" s="4">
        <v>0</v>
      </c>
      <c r="K13" s="135"/>
      <c r="L13" s="4">
        <v>27000</v>
      </c>
      <c r="M13" s="4">
        <v>1348603418</v>
      </c>
      <c r="O13" s="4">
        <v>0</v>
      </c>
      <c r="Q13" s="201">
        <v>0</v>
      </c>
      <c r="S13" s="4">
        <v>0</v>
      </c>
      <c r="U13" s="200">
        <v>0</v>
      </c>
      <c r="V13" s="135"/>
      <c r="W13" s="8">
        <f>U13/[1]درآمدها!$J$6</f>
        <v>0</v>
      </c>
      <c r="Y13" s="136"/>
      <c r="Z13" s="244"/>
      <c r="AB13" s="136"/>
      <c r="AC13" s="53"/>
      <c r="AD13" s="136"/>
      <c r="AE13" s="53"/>
      <c r="AF13" s="136"/>
    </row>
    <row r="14" spans="1:32" ht="28.5" customHeight="1">
      <c r="A14" s="4" t="s">
        <v>142</v>
      </c>
      <c r="C14" s="200">
        <v>20800000</v>
      </c>
      <c r="E14" s="4">
        <v>10618444400</v>
      </c>
      <c r="F14" s="4">
        <v>1948338000</v>
      </c>
      <c r="G14" s="200">
        <v>9118221841</v>
      </c>
      <c r="I14" s="4">
        <v>46262135</v>
      </c>
      <c r="J14" s="4">
        <v>21066482965</v>
      </c>
      <c r="K14" s="135"/>
      <c r="L14" s="4">
        <f>32529135+13394000</f>
        <v>45923135</v>
      </c>
      <c r="M14" s="4">
        <v>14324666157</v>
      </c>
      <c r="O14" s="4">
        <v>21139000</v>
      </c>
      <c r="Q14" s="201">
        <v>446</v>
      </c>
      <c r="S14" s="4">
        <v>9891917409</v>
      </c>
      <c r="U14" s="200">
        <v>9371897440</v>
      </c>
      <c r="V14" s="135"/>
      <c r="W14" s="8">
        <f>U14/[1]درآمدها!$J$6</f>
        <v>5.0559552333952248E-2</v>
      </c>
      <c r="Y14" s="136"/>
      <c r="Z14" s="244"/>
      <c r="AB14" s="136"/>
      <c r="AC14" s="53"/>
      <c r="AD14" s="136"/>
      <c r="AE14" s="53"/>
      <c r="AF14" s="136"/>
    </row>
    <row r="15" spans="1:32" ht="28.5" customHeight="1">
      <c r="A15" s="4" t="s">
        <v>89</v>
      </c>
      <c r="C15" s="200">
        <v>31995</v>
      </c>
      <c r="E15" s="4">
        <v>75222433</v>
      </c>
      <c r="G15" s="200">
        <v>95318479</v>
      </c>
      <c r="I15" s="4">
        <v>0</v>
      </c>
      <c r="J15" s="4">
        <v>0</v>
      </c>
      <c r="K15" s="135"/>
      <c r="L15" s="4">
        <v>31995</v>
      </c>
      <c r="M15" s="4">
        <v>95095858</v>
      </c>
      <c r="O15" s="289">
        <v>0</v>
      </c>
      <c r="P15" s="289"/>
      <c r="Q15" s="290">
        <v>0</v>
      </c>
      <c r="R15" s="289"/>
      <c r="S15" s="289">
        <v>0</v>
      </c>
      <c r="T15" s="289"/>
      <c r="U15" s="291">
        <v>0</v>
      </c>
      <c r="V15" s="135"/>
      <c r="W15" s="8">
        <f>U15/[1]درآمدها!$J$6</f>
        <v>0</v>
      </c>
      <c r="Y15" s="136"/>
      <c r="Z15" s="244"/>
      <c r="AB15" s="136"/>
      <c r="AC15" s="53"/>
      <c r="AD15" s="136"/>
      <c r="AE15" s="53"/>
      <c r="AF15" s="136"/>
    </row>
    <row r="16" spans="1:32" ht="28.5" customHeight="1">
      <c r="A16" s="4" t="s">
        <v>130</v>
      </c>
      <c r="C16" s="200">
        <v>70000</v>
      </c>
      <c r="E16" s="4">
        <v>1768956269</v>
      </c>
      <c r="F16" s="4">
        <v>3882759300</v>
      </c>
      <c r="G16" s="200">
        <v>2550235275</v>
      </c>
      <c r="I16" s="4">
        <v>0</v>
      </c>
      <c r="J16" s="4">
        <v>0</v>
      </c>
      <c r="K16" s="135"/>
      <c r="L16" s="4">
        <v>70000</v>
      </c>
      <c r="M16" s="4">
        <v>2550856034</v>
      </c>
      <c r="O16" s="4">
        <v>0</v>
      </c>
      <c r="Q16" s="201">
        <v>0</v>
      </c>
      <c r="S16" s="4">
        <v>0</v>
      </c>
      <c r="U16" s="200">
        <v>0</v>
      </c>
      <c r="V16" s="135"/>
      <c r="W16" s="8">
        <f>U16/[1]درآمدها!$J$6</f>
        <v>0</v>
      </c>
      <c r="Y16" s="136"/>
      <c r="Z16" s="244"/>
      <c r="AB16" s="136"/>
      <c r="AC16" s="53"/>
      <c r="AD16" s="136"/>
      <c r="AE16" s="53"/>
      <c r="AF16" s="136"/>
    </row>
    <row r="17" spans="1:32" ht="28.5" customHeight="1">
      <c r="A17" s="4" t="s">
        <v>128</v>
      </c>
      <c r="C17" s="200">
        <v>59000</v>
      </c>
      <c r="E17" s="4">
        <v>1205272577</v>
      </c>
      <c r="F17" s="4">
        <v>3580933912</v>
      </c>
      <c r="G17" s="200">
        <v>1941280246</v>
      </c>
      <c r="I17" s="4">
        <v>0</v>
      </c>
      <c r="J17" s="4">
        <v>0</v>
      </c>
      <c r="K17" s="135"/>
      <c r="L17" s="4">
        <v>59000</v>
      </c>
      <c r="M17" s="4">
        <v>1911574810</v>
      </c>
      <c r="O17" s="4">
        <v>0</v>
      </c>
      <c r="Q17" s="201">
        <v>0</v>
      </c>
      <c r="S17" s="4">
        <v>0</v>
      </c>
      <c r="U17" s="200">
        <v>0</v>
      </c>
      <c r="V17" s="135"/>
      <c r="W17" s="8">
        <f>U17/[1]درآمدها!$J$6</f>
        <v>0</v>
      </c>
      <c r="Y17" s="136"/>
      <c r="Z17" s="244"/>
      <c r="AB17" s="136"/>
      <c r="AC17" s="53"/>
      <c r="AD17" s="136"/>
      <c r="AE17" s="53"/>
      <c r="AF17" s="136"/>
    </row>
    <row r="18" spans="1:32" ht="28.5" customHeight="1">
      <c r="A18" s="4" t="s">
        <v>107</v>
      </c>
      <c r="C18" s="200">
        <v>22687000</v>
      </c>
      <c r="E18" s="4">
        <v>33180070340</v>
      </c>
      <c r="F18" s="4">
        <v>2874792600</v>
      </c>
      <c r="G18" s="200">
        <v>29204855998</v>
      </c>
      <c r="I18" s="4">
        <v>21386230</v>
      </c>
      <c r="J18" s="4">
        <v>27822509514</v>
      </c>
      <c r="K18" s="135"/>
      <c r="L18" s="4">
        <v>18057000</v>
      </c>
      <c r="M18" s="4">
        <v>24375503975</v>
      </c>
      <c r="O18" s="4">
        <v>26016230</v>
      </c>
      <c r="Q18" s="201">
        <v>1306</v>
      </c>
      <c r="S18" s="4">
        <v>34593952441</v>
      </c>
      <c r="U18" s="200">
        <v>33775032066</v>
      </c>
      <c r="V18" s="135"/>
      <c r="W18" s="8">
        <f>U18/[1]درآمدها!$J$6</f>
        <v>0.18220968723296679</v>
      </c>
      <c r="Y18" s="136"/>
      <c r="Z18" s="244"/>
      <c r="AB18" s="136"/>
      <c r="AC18" s="53"/>
      <c r="AD18" s="136"/>
      <c r="AE18" s="53"/>
      <c r="AF18" s="136"/>
    </row>
    <row r="19" spans="1:32" ht="28.5" customHeight="1">
      <c r="A19" s="4" t="s">
        <v>146</v>
      </c>
      <c r="C19" s="200">
        <v>0</v>
      </c>
      <c r="E19" s="4">
        <v>0</v>
      </c>
      <c r="F19" s="4">
        <v>284618289</v>
      </c>
      <c r="G19" s="200">
        <v>0</v>
      </c>
      <c r="I19" s="4">
        <v>400000</v>
      </c>
      <c r="J19" s="4">
        <v>19230253564</v>
      </c>
      <c r="K19" s="135"/>
      <c r="L19" s="4">
        <v>0</v>
      </c>
      <c r="M19" s="4">
        <v>0</v>
      </c>
      <c r="O19" s="4">
        <v>400000</v>
      </c>
      <c r="Q19" s="201">
        <v>52750</v>
      </c>
      <c r="S19" s="4">
        <v>19230253564</v>
      </c>
      <c r="U19" s="200">
        <v>20974455000</v>
      </c>
      <c r="V19" s="135"/>
      <c r="W19" s="8">
        <f>U19/[1]درآمدها!$J$6</f>
        <v>0.1131530794097792</v>
      </c>
      <c r="Y19" s="136"/>
      <c r="Z19" s="244"/>
      <c r="AB19" s="136"/>
      <c r="AC19" s="53"/>
      <c r="AD19" s="136"/>
      <c r="AE19" s="53"/>
      <c r="AF19" s="136"/>
    </row>
    <row r="20" spans="1:32" ht="28.5" customHeight="1">
      <c r="A20" s="4" t="s">
        <v>97</v>
      </c>
      <c r="C20" s="200">
        <v>47170</v>
      </c>
      <c r="E20" s="4">
        <v>326107546</v>
      </c>
      <c r="F20" s="4">
        <v>2492180213</v>
      </c>
      <c r="G20" s="200">
        <v>296809516</v>
      </c>
      <c r="I20" s="4">
        <v>0</v>
      </c>
      <c r="J20" s="4">
        <v>0</v>
      </c>
      <c r="K20" s="135"/>
      <c r="L20" s="4">
        <v>47170</v>
      </c>
      <c r="M20" s="4">
        <v>273364845</v>
      </c>
      <c r="O20" s="4">
        <v>0</v>
      </c>
      <c r="Q20" s="201">
        <v>0</v>
      </c>
      <c r="S20" s="4">
        <v>0</v>
      </c>
      <c r="U20" s="200">
        <v>0</v>
      </c>
      <c r="V20" s="135"/>
      <c r="W20" s="8">
        <f>U20/[1]درآمدها!$J$6</f>
        <v>0</v>
      </c>
      <c r="Y20" s="136"/>
      <c r="Z20" s="244"/>
      <c r="AB20" s="137"/>
      <c r="AC20" s="53"/>
      <c r="AD20" s="136"/>
      <c r="AE20" s="53"/>
      <c r="AF20" s="136"/>
    </row>
    <row r="21" spans="1:32" ht="28.5" customHeight="1">
      <c r="A21" s="4" t="s">
        <v>108</v>
      </c>
      <c r="C21" s="200">
        <v>572500</v>
      </c>
      <c r="E21" s="4">
        <v>7563861753</v>
      </c>
      <c r="F21" s="4">
        <v>4556725200</v>
      </c>
      <c r="G21" s="200">
        <v>9611991329</v>
      </c>
      <c r="I21" s="4">
        <v>0</v>
      </c>
      <c r="J21" s="4">
        <v>0</v>
      </c>
      <c r="K21" s="135"/>
      <c r="L21" s="4">
        <v>572500</v>
      </c>
      <c r="M21" s="4">
        <v>10954533497</v>
      </c>
      <c r="O21" s="4">
        <v>0</v>
      </c>
      <c r="Q21" s="201">
        <v>0</v>
      </c>
      <c r="S21" s="4">
        <v>0</v>
      </c>
      <c r="U21" s="200">
        <v>0</v>
      </c>
      <c r="V21" s="135"/>
      <c r="W21" s="8">
        <f>U21/[1]درآمدها!$J$6</f>
        <v>0</v>
      </c>
      <c r="Y21" s="136"/>
      <c r="Z21" s="244"/>
      <c r="AB21" s="136"/>
      <c r="AC21" s="53"/>
      <c r="AD21" s="136"/>
      <c r="AE21" s="53"/>
      <c r="AF21" s="136"/>
    </row>
    <row r="22" spans="1:32" ht="28.5" customHeight="1">
      <c r="A22" s="4" t="s">
        <v>109</v>
      </c>
      <c r="C22" s="200">
        <v>200000</v>
      </c>
      <c r="E22" s="4">
        <v>1691534520</v>
      </c>
      <c r="F22" s="4">
        <v>6133089691</v>
      </c>
      <c r="G22" s="200">
        <v>1799230500</v>
      </c>
      <c r="I22" s="4">
        <v>0</v>
      </c>
      <c r="J22" s="4">
        <v>0</v>
      </c>
      <c r="K22" s="135"/>
      <c r="L22" s="4">
        <v>200000</v>
      </c>
      <c r="M22" s="4">
        <v>1701424584</v>
      </c>
      <c r="O22" s="4">
        <v>0</v>
      </c>
      <c r="Q22" s="201">
        <v>0</v>
      </c>
      <c r="S22" s="4">
        <v>0</v>
      </c>
      <c r="U22" s="200">
        <v>0</v>
      </c>
      <c r="V22" s="135"/>
      <c r="W22" s="8">
        <f>U22/[1]درآمدها!$J$6</f>
        <v>0</v>
      </c>
      <c r="Y22" s="136"/>
      <c r="Z22" s="244"/>
      <c r="AB22" s="136"/>
      <c r="AC22" s="53"/>
      <c r="AD22" s="136"/>
      <c r="AE22" s="53"/>
      <c r="AF22" s="136"/>
    </row>
    <row r="23" spans="1:32" ht="28.5" customHeight="1" thickBot="1">
      <c r="A23" s="4" t="s">
        <v>2</v>
      </c>
      <c r="C23" s="200"/>
      <c r="E23" s="202">
        <f>SUM(E10:E22)</f>
        <v>61686540507</v>
      </c>
      <c r="G23" s="292">
        <f>SUM(G10:G22)</f>
        <v>60550302373</v>
      </c>
      <c r="J23" s="202">
        <f>SUM(J10:J22)</f>
        <v>77438286025</v>
      </c>
      <c r="K23" s="293"/>
      <c r="M23" s="202">
        <f>SUM(M10:M22)</f>
        <v>58450149178</v>
      </c>
      <c r="S23" s="202">
        <f>SUM(S10:S22)</f>
        <v>77069158033</v>
      </c>
      <c r="U23" s="202">
        <f>SUM(U10:U22)</f>
        <v>76891714239</v>
      </c>
      <c r="V23" s="293"/>
      <c r="W23" s="51">
        <f>SUM(W10:W22)</f>
        <v>0.41481574835863994</v>
      </c>
      <c r="Y23" s="136"/>
      <c r="AB23" s="136"/>
      <c r="AC23" s="53"/>
      <c r="AD23" s="136"/>
      <c r="AE23" s="53"/>
      <c r="AF23" s="136"/>
    </row>
    <row r="24" spans="1:32" ht="31.5" thickTop="1">
      <c r="A24" s="4"/>
      <c r="Y24" s="136"/>
    </row>
    <row r="25" spans="1:32" ht="32.25" customHeight="1">
      <c r="B25" s="4"/>
    </row>
    <row r="26" spans="1:32" ht="32.25" customHeight="1">
      <c r="C26" s="263"/>
      <c r="I26" s="263"/>
      <c r="L26" s="263"/>
      <c r="O26" s="263"/>
    </row>
    <row r="27" spans="1:32" ht="32.25" customHeight="1">
      <c r="C27" s="263"/>
      <c r="D27" s="217"/>
      <c r="E27" s="281"/>
      <c r="F27" s="217"/>
      <c r="G27" s="263"/>
      <c r="H27" s="217"/>
      <c r="I27" s="263"/>
      <c r="J27" s="263"/>
      <c r="K27" s="217"/>
      <c r="L27" s="263"/>
      <c r="M27" s="263"/>
      <c r="N27" s="217"/>
      <c r="O27" s="263"/>
      <c r="P27" s="217"/>
      <c r="Q27" s="217"/>
      <c r="R27" s="217"/>
      <c r="S27" s="281"/>
      <c r="T27" s="217"/>
      <c r="U27" s="263"/>
    </row>
    <row r="28" spans="1:32" ht="32.25" customHeight="1">
      <c r="C28" s="263"/>
      <c r="D28" s="218"/>
      <c r="E28" s="281"/>
      <c r="F28" s="218"/>
      <c r="G28" s="263"/>
      <c r="H28" s="218"/>
      <c r="I28" s="263"/>
      <c r="J28" s="263"/>
      <c r="K28" s="218"/>
      <c r="L28" s="263"/>
      <c r="M28" s="263"/>
      <c r="N28" s="218"/>
      <c r="O28" s="263"/>
      <c r="P28" s="218"/>
      <c r="Q28" s="218"/>
      <c r="R28" s="218"/>
      <c r="S28" s="281"/>
      <c r="T28" s="218"/>
      <c r="U28" s="263"/>
    </row>
    <row r="29" spans="1:32" ht="32.25" customHeight="1"/>
    <row r="30" spans="1:32" ht="32.25" customHeight="1"/>
    <row r="31" spans="1:32" ht="32.25" customHeight="1"/>
    <row r="32" spans="1:32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178" spans="25:25">
      <c r="Y178" s="130" t="s">
        <v>55</v>
      </c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W8:W9"/>
    <mergeCell ref="I8:J8"/>
    <mergeCell ref="L8:M8"/>
    <mergeCell ref="O8:O9"/>
    <mergeCell ref="P8:P9"/>
    <mergeCell ref="Q8:Q9"/>
    <mergeCell ref="S8:S9"/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</mergeCells>
  <printOptions horizontalCentered="1"/>
  <pageMargins left="0" right="0" top="0.74803149606299202" bottom="0.74803149606299202" header="0.31496062992126" footer="0.31496062992126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8B6B-CE9A-49C7-B14D-101532B8032F}">
  <sheetPr>
    <pageSetUpPr fitToPage="1"/>
  </sheetPr>
  <dimension ref="A1:AK25"/>
  <sheetViews>
    <sheetView rightToLeft="1" view="pageBreakPreview" zoomScale="62" zoomScaleNormal="100" zoomScaleSheetLayoutView="62" workbookViewId="0">
      <selection activeCell="AK7" sqref="AH7:AK15"/>
    </sheetView>
  </sheetViews>
  <sheetFormatPr defaultColWidth="9.140625" defaultRowHeight="27.75"/>
  <cols>
    <col min="1" max="1" width="48.85546875" style="140" customWidth="1"/>
    <col min="2" max="2" width="0.5703125" style="140" customWidth="1"/>
    <col min="3" max="3" width="14.140625" style="140" customWidth="1"/>
    <col min="4" max="4" width="0.5703125" style="140" customWidth="1"/>
    <col min="5" max="5" width="20.28515625" style="140" customWidth="1"/>
    <col min="6" max="6" width="0.5703125" style="140" customWidth="1"/>
    <col min="7" max="7" width="19.7109375" style="140" bestFit="1" customWidth="1"/>
    <col min="8" max="8" width="0.5703125" style="140" customWidth="1"/>
    <col min="9" max="9" width="16.5703125" style="140" bestFit="1" customWidth="1"/>
    <col min="10" max="10" width="0.42578125" style="140" customWidth="1"/>
    <col min="11" max="11" width="17.140625" style="140" bestFit="1" customWidth="1"/>
    <col min="12" max="12" width="0.7109375" style="140" customWidth="1"/>
    <col min="13" max="13" width="12.140625" style="140" bestFit="1" customWidth="1"/>
    <col min="14" max="14" width="1.140625" style="140" customWidth="1"/>
    <col min="15" max="15" width="23.7109375" style="140" bestFit="1" customWidth="1"/>
    <col min="16" max="16" width="0.5703125" style="140" customWidth="1"/>
    <col min="17" max="17" width="23.7109375" style="140" bestFit="1" customWidth="1"/>
    <col min="18" max="18" width="0.5703125" style="140" customWidth="1"/>
    <col min="19" max="19" width="13" style="140" bestFit="1" customWidth="1"/>
    <col min="20" max="20" width="24.5703125" style="140" bestFit="1" customWidth="1"/>
    <col min="21" max="21" width="0.5703125" style="140" customWidth="1"/>
    <col min="22" max="22" width="13" style="140" bestFit="1" customWidth="1"/>
    <col min="23" max="23" width="24.5703125" style="140" bestFit="1" customWidth="1"/>
    <col min="24" max="24" width="0.5703125" style="140" customWidth="1"/>
    <col min="25" max="25" width="13.7109375" style="140" bestFit="1" customWidth="1"/>
    <col min="26" max="26" width="0.42578125" style="140" customWidth="1"/>
    <col min="27" max="27" width="21.5703125" style="140" bestFit="1" customWidth="1"/>
    <col min="28" max="28" width="0.7109375" style="140" customWidth="1"/>
    <col min="29" max="29" width="24.5703125" style="140" bestFit="1" customWidth="1"/>
    <col min="30" max="30" width="0.7109375" style="140" customWidth="1"/>
    <col min="31" max="31" width="24.5703125" style="140" bestFit="1" customWidth="1"/>
    <col min="32" max="32" width="0.7109375" style="140" customWidth="1"/>
    <col min="33" max="33" width="14.7109375" style="140" customWidth="1"/>
    <col min="34" max="34" width="9.5703125" style="139" bestFit="1" customWidth="1"/>
    <col min="35" max="36" width="9.140625" style="139"/>
    <col min="37" max="16384" width="9.140625" style="140"/>
  </cols>
  <sheetData>
    <row r="1" spans="1:37" s="55" customFormat="1" ht="27">
      <c r="A1" s="326" t="s">
        <v>83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138"/>
      <c r="AI1" s="138"/>
      <c r="AJ1" s="138"/>
    </row>
    <row r="2" spans="1:37" s="55" customFormat="1" ht="27">
      <c r="A2" s="326" t="s">
        <v>46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138"/>
      <c r="AI2" s="138"/>
      <c r="AJ2" s="138"/>
    </row>
    <row r="3" spans="1:37" s="55" customFormat="1" ht="27">
      <c r="A3" s="326" t="str">
        <f>' سهام '!$A$3</f>
        <v>برای ماه منتهی به 1403/12/30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138"/>
      <c r="AI3" s="138"/>
      <c r="AJ3" s="138"/>
    </row>
    <row r="4" spans="1:37">
      <c r="A4" s="327" t="s">
        <v>61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</row>
    <row r="5" spans="1:37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</row>
    <row r="6" spans="1:37" ht="27.75" customHeight="1" thickBot="1">
      <c r="A6" s="328" t="s">
        <v>62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 t="str">
        <f>'[1] سهام'!C7</f>
        <v>1403/11/30</v>
      </c>
      <c r="N6" s="328"/>
      <c r="O6" s="328"/>
      <c r="P6" s="328"/>
      <c r="Q6" s="328"/>
      <c r="R6" s="274"/>
      <c r="S6" s="329" t="s">
        <v>7</v>
      </c>
      <c r="T6" s="329"/>
      <c r="U6" s="329"/>
      <c r="V6" s="329"/>
      <c r="W6" s="329"/>
      <c r="X6" s="273"/>
      <c r="Y6" s="328" t="str">
        <f>'[1] سهام'!O7</f>
        <v>1403/12/30</v>
      </c>
      <c r="Z6" s="328"/>
      <c r="AA6" s="328"/>
      <c r="AB6" s="328"/>
      <c r="AC6" s="328"/>
      <c r="AD6" s="328"/>
      <c r="AE6" s="328"/>
      <c r="AF6" s="328"/>
      <c r="AG6" s="328"/>
    </row>
    <row r="7" spans="1:37" ht="26.25" customHeight="1">
      <c r="A7" s="330" t="s">
        <v>63</v>
      </c>
      <c r="B7" s="272"/>
      <c r="C7" s="331" t="s">
        <v>64</v>
      </c>
      <c r="D7" s="272"/>
      <c r="E7" s="333" t="s">
        <v>69</v>
      </c>
      <c r="F7" s="272"/>
      <c r="G7" s="334" t="s">
        <v>65</v>
      </c>
      <c r="H7" s="272"/>
      <c r="I7" s="331" t="s">
        <v>20</v>
      </c>
      <c r="J7" s="272"/>
      <c r="K7" s="333" t="s">
        <v>66</v>
      </c>
      <c r="L7" s="141"/>
      <c r="M7" s="335" t="s">
        <v>3</v>
      </c>
      <c r="N7" s="334"/>
      <c r="O7" s="334" t="s">
        <v>0</v>
      </c>
      <c r="P7" s="334"/>
      <c r="Q7" s="334" t="s">
        <v>18</v>
      </c>
      <c r="R7" s="272"/>
      <c r="S7" s="326" t="s">
        <v>4</v>
      </c>
      <c r="T7" s="326"/>
      <c r="U7" s="273"/>
      <c r="V7" s="326" t="s">
        <v>5</v>
      </c>
      <c r="W7" s="326"/>
      <c r="X7" s="273"/>
      <c r="Y7" s="335" t="s">
        <v>3</v>
      </c>
      <c r="Z7" s="330"/>
      <c r="AA7" s="334" t="s">
        <v>67</v>
      </c>
      <c r="AB7" s="272"/>
      <c r="AC7" s="334" t="s">
        <v>0</v>
      </c>
      <c r="AD7" s="330"/>
      <c r="AE7" s="334" t="s">
        <v>18</v>
      </c>
      <c r="AF7" s="142"/>
      <c r="AG7" s="334" t="s">
        <v>19</v>
      </c>
      <c r="AH7" s="297"/>
      <c r="AI7" s="297"/>
      <c r="AJ7" s="297"/>
      <c r="AK7" s="294"/>
    </row>
    <row r="8" spans="1:37" s="145" customFormat="1" ht="55.5" customHeight="1" thickBot="1">
      <c r="A8" s="328"/>
      <c r="B8" s="272"/>
      <c r="C8" s="332"/>
      <c r="D8" s="272"/>
      <c r="E8" s="332"/>
      <c r="F8" s="272"/>
      <c r="G8" s="328"/>
      <c r="H8" s="272"/>
      <c r="I8" s="332"/>
      <c r="J8" s="272"/>
      <c r="K8" s="332"/>
      <c r="L8" s="274"/>
      <c r="M8" s="336"/>
      <c r="N8" s="330"/>
      <c r="O8" s="328"/>
      <c r="P8" s="330"/>
      <c r="Q8" s="328"/>
      <c r="R8" s="272"/>
      <c r="S8" s="143" t="s">
        <v>3</v>
      </c>
      <c r="T8" s="143" t="s">
        <v>0</v>
      </c>
      <c r="U8" s="144"/>
      <c r="V8" s="143" t="s">
        <v>3</v>
      </c>
      <c r="W8" s="143" t="s">
        <v>45</v>
      </c>
      <c r="X8" s="144"/>
      <c r="Y8" s="336"/>
      <c r="Z8" s="330"/>
      <c r="AA8" s="328"/>
      <c r="AB8" s="272"/>
      <c r="AC8" s="328"/>
      <c r="AD8" s="330"/>
      <c r="AE8" s="328"/>
      <c r="AF8" s="142"/>
      <c r="AG8" s="328"/>
      <c r="AH8" s="298"/>
      <c r="AI8" s="298"/>
      <c r="AJ8" s="298"/>
      <c r="AK8" s="299"/>
    </row>
    <row r="9" spans="1:37" s="145" customFormat="1" ht="55.5" customHeight="1">
      <c r="A9" s="146" t="s">
        <v>99</v>
      </c>
      <c r="B9" s="272"/>
      <c r="C9" s="147" t="s">
        <v>96</v>
      </c>
      <c r="D9" s="130"/>
      <c r="E9" s="147" t="s">
        <v>96</v>
      </c>
      <c r="F9" s="130"/>
      <c r="G9" s="147" t="s">
        <v>101</v>
      </c>
      <c r="H9" s="130" t="s">
        <v>103</v>
      </c>
      <c r="I9" s="147" t="s">
        <v>103</v>
      </c>
      <c r="J9" s="147"/>
      <c r="K9" s="224">
        <v>1000000</v>
      </c>
      <c r="L9" s="274"/>
      <c r="M9" s="4">
        <v>10000</v>
      </c>
      <c r="N9" s="135"/>
      <c r="O9" s="4">
        <v>6741141541</v>
      </c>
      <c r="P9" s="4"/>
      <c r="Q9" s="4">
        <v>8706721622</v>
      </c>
      <c r="R9" s="4"/>
      <c r="S9" s="4">
        <v>0</v>
      </c>
      <c r="T9" s="4">
        <v>0</v>
      </c>
      <c r="U9" s="4"/>
      <c r="V9" s="4">
        <v>10000</v>
      </c>
      <c r="W9" s="4">
        <v>8812202500</v>
      </c>
      <c r="X9" s="4"/>
      <c r="Y9" s="4">
        <v>0</v>
      </c>
      <c r="Z9" s="4"/>
      <c r="AA9" s="203">
        <v>0</v>
      </c>
      <c r="AB9" s="4"/>
      <c r="AC9" s="4">
        <v>0</v>
      </c>
      <c r="AD9" s="4"/>
      <c r="AE9" s="4">
        <v>0</v>
      </c>
      <c r="AG9" s="8">
        <f>AE9/[1]درآمدها!$J$6</f>
        <v>0</v>
      </c>
      <c r="AH9" s="129"/>
      <c r="AI9" s="300"/>
      <c r="AJ9" s="298"/>
      <c r="AK9" s="299"/>
    </row>
    <row r="10" spans="1:37" s="145" customFormat="1" ht="55.5" customHeight="1">
      <c r="A10" s="146" t="s">
        <v>110</v>
      </c>
      <c r="B10" s="272"/>
      <c r="C10" s="147" t="s">
        <v>96</v>
      </c>
      <c r="D10" s="130"/>
      <c r="E10" s="147" t="s">
        <v>96</v>
      </c>
      <c r="F10" s="130"/>
      <c r="G10" s="147" t="s">
        <v>111</v>
      </c>
      <c r="H10" s="130" t="s">
        <v>112</v>
      </c>
      <c r="I10" s="147" t="s">
        <v>112</v>
      </c>
      <c r="J10" s="147"/>
      <c r="K10" s="224">
        <v>1000000</v>
      </c>
      <c r="L10" s="274"/>
      <c r="M10" s="4">
        <v>7800</v>
      </c>
      <c r="N10" s="135"/>
      <c r="O10" s="4">
        <v>4829344249</v>
      </c>
      <c r="P10" s="4"/>
      <c r="Q10" s="4">
        <v>6166888050</v>
      </c>
      <c r="R10" s="4"/>
      <c r="S10" s="4">
        <v>0</v>
      </c>
      <c r="T10" s="4">
        <v>0</v>
      </c>
      <c r="U10" s="4"/>
      <c r="V10" s="4">
        <v>7800</v>
      </c>
      <c r="W10" s="4">
        <v>6231070415</v>
      </c>
      <c r="X10" s="4"/>
      <c r="Y10" s="4">
        <v>0</v>
      </c>
      <c r="Z10" s="4"/>
      <c r="AA10" s="203">
        <v>0</v>
      </c>
      <c r="AB10" s="4"/>
      <c r="AC10" s="4">
        <v>0</v>
      </c>
      <c r="AD10" s="4"/>
      <c r="AE10" s="4">
        <v>0</v>
      </c>
      <c r="AG10" s="8">
        <f>AE10/[1]درآمدها!$J$6</f>
        <v>0</v>
      </c>
      <c r="AH10" s="129"/>
      <c r="AI10" s="300"/>
      <c r="AJ10" s="298"/>
      <c r="AK10" s="299"/>
    </row>
    <row r="11" spans="1:37" s="145" customFormat="1" ht="55.5" customHeight="1">
      <c r="A11" s="146" t="s">
        <v>100</v>
      </c>
      <c r="B11" s="272"/>
      <c r="C11" s="147" t="s">
        <v>96</v>
      </c>
      <c r="D11" s="130"/>
      <c r="E11" s="147" t="s">
        <v>96</v>
      </c>
      <c r="F11" s="130"/>
      <c r="G11" s="147" t="s">
        <v>102</v>
      </c>
      <c r="H11" s="130"/>
      <c r="I11" s="147" t="s">
        <v>104</v>
      </c>
      <c r="J11" s="147"/>
      <c r="K11" s="224">
        <v>1000000</v>
      </c>
      <c r="L11" s="274"/>
      <c r="M11" s="4">
        <v>10000</v>
      </c>
      <c r="N11" s="135"/>
      <c r="O11" s="4">
        <v>5485860797</v>
      </c>
      <c r="P11" s="4"/>
      <c r="Q11" s="4">
        <v>6795268136</v>
      </c>
      <c r="R11" s="4"/>
      <c r="S11" s="4">
        <v>0</v>
      </c>
      <c r="T11" s="4">
        <v>0</v>
      </c>
      <c r="U11" s="4"/>
      <c r="V11" s="4">
        <v>10000</v>
      </c>
      <c r="W11" s="4">
        <v>6816977083</v>
      </c>
      <c r="X11" s="4"/>
      <c r="Y11" s="4">
        <v>0</v>
      </c>
      <c r="Z11" s="4"/>
      <c r="AA11" s="203">
        <v>0</v>
      </c>
      <c r="AB11" s="4"/>
      <c r="AC11" s="4">
        <v>0</v>
      </c>
      <c r="AD11" s="4"/>
      <c r="AE11" s="4">
        <v>0</v>
      </c>
      <c r="AG11" s="8">
        <f>AE11/[1]درآمدها!$J$6</f>
        <v>0</v>
      </c>
      <c r="AH11" s="129"/>
      <c r="AI11" s="300"/>
      <c r="AJ11" s="298"/>
      <c r="AK11" s="299"/>
    </row>
    <row r="12" spans="1:37" s="149" customFormat="1" ht="30.75">
      <c r="A12" s="146" t="s">
        <v>149</v>
      </c>
      <c r="B12" s="272"/>
      <c r="C12" s="147" t="s">
        <v>96</v>
      </c>
      <c r="D12" s="130"/>
      <c r="E12" s="147" t="s">
        <v>96</v>
      </c>
      <c r="F12" s="130"/>
      <c r="G12" s="147" t="s">
        <v>150</v>
      </c>
      <c r="H12" s="130"/>
      <c r="I12" s="147" t="s">
        <v>151</v>
      </c>
      <c r="J12" s="147"/>
      <c r="K12" s="224">
        <v>1000000</v>
      </c>
      <c r="L12" s="274"/>
      <c r="M12" s="4">
        <v>0</v>
      </c>
      <c r="N12" s="135"/>
      <c r="O12" s="4">
        <v>0</v>
      </c>
      <c r="P12" s="4"/>
      <c r="Q12" s="4">
        <v>0</v>
      </c>
      <c r="R12" s="4"/>
      <c r="S12" s="4">
        <v>6400</v>
      </c>
      <c r="T12" s="4">
        <v>3946827230</v>
      </c>
      <c r="U12" s="4"/>
      <c r="V12" s="4">
        <v>6400</v>
      </c>
      <c r="W12" s="4">
        <v>3954850708</v>
      </c>
      <c r="X12" s="4"/>
      <c r="Y12" s="4">
        <v>0</v>
      </c>
      <c r="Z12" s="4"/>
      <c r="AA12" s="203">
        <v>0</v>
      </c>
      <c r="AB12" s="4"/>
      <c r="AC12" s="4">
        <v>0</v>
      </c>
      <c r="AD12" s="4"/>
      <c r="AE12" s="4">
        <v>0</v>
      </c>
      <c r="AF12" s="145"/>
      <c r="AG12" s="8">
        <f>AE12/[1]درآمدها!$J$6</f>
        <v>0</v>
      </c>
      <c r="AH12" s="129"/>
      <c r="AI12" s="301"/>
      <c r="AJ12" s="301"/>
      <c r="AK12" s="302"/>
    </row>
    <row r="13" spans="1:37" s="150" customFormat="1" ht="31.5">
      <c r="A13" s="146" t="s">
        <v>152</v>
      </c>
      <c r="B13" s="272"/>
      <c r="C13" s="147" t="s">
        <v>96</v>
      </c>
      <c r="D13" s="130"/>
      <c r="E13" s="147" t="s">
        <v>96</v>
      </c>
      <c r="F13" s="130"/>
      <c r="G13" s="147" t="s">
        <v>150</v>
      </c>
      <c r="H13" s="130"/>
      <c r="I13" s="147" t="s">
        <v>153</v>
      </c>
      <c r="J13" s="147"/>
      <c r="K13" s="224">
        <v>1000000</v>
      </c>
      <c r="L13" s="274"/>
      <c r="M13" s="4">
        <v>0</v>
      </c>
      <c r="N13" s="135"/>
      <c r="O13" s="4">
        <v>0</v>
      </c>
      <c r="P13" s="4"/>
      <c r="Q13" s="4">
        <v>0</v>
      </c>
      <c r="R13" s="4"/>
      <c r="S13" s="4">
        <v>35660</v>
      </c>
      <c r="T13" s="4">
        <v>21043213186</v>
      </c>
      <c r="U13" s="4"/>
      <c r="V13" s="4">
        <v>35660</v>
      </c>
      <c r="W13" s="4">
        <v>21024891600</v>
      </c>
      <c r="X13" s="4"/>
      <c r="Y13" s="4">
        <v>0</v>
      </c>
      <c r="Z13" s="4"/>
      <c r="AA13" s="203">
        <v>0</v>
      </c>
      <c r="AB13" s="4"/>
      <c r="AC13" s="4">
        <v>0</v>
      </c>
      <c r="AD13" s="4"/>
      <c r="AE13" s="4">
        <v>0</v>
      </c>
      <c r="AF13" s="145"/>
      <c r="AG13" s="8">
        <f>AE13/[1]درآمدها!$J$6</f>
        <v>0</v>
      </c>
      <c r="AH13" s="129"/>
      <c r="AI13" s="297"/>
      <c r="AJ13" s="297"/>
      <c r="AK13" s="303"/>
    </row>
    <row r="14" spans="1:37" ht="54.75" thickBot="1">
      <c r="A14" s="146" t="s">
        <v>154</v>
      </c>
      <c r="B14" s="272"/>
      <c r="C14" s="147" t="s">
        <v>96</v>
      </c>
      <c r="D14" s="130"/>
      <c r="E14" s="147" t="s">
        <v>96</v>
      </c>
      <c r="F14" s="130"/>
      <c r="G14" s="147" t="s">
        <v>155</v>
      </c>
      <c r="H14" s="130"/>
      <c r="I14" s="147" t="s">
        <v>156</v>
      </c>
      <c r="J14" s="147"/>
      <c r="K14" s="224">
        <v>1000000</v>
      </c>
      <c r="L14" s="274"/>
      <c r="M14" s="4">
        <v>0</v>
      </c>
      <c r="N14" s="135"/>
      <c r="O14" s="4">
        <v>0</v>
      </c>
      <c r="P14" s="4"/>
      <c r="Q14" s="4">
        <v>0</v>
      </c>
      <c r="R14" s="4"/>
      <c r="S14" s="4">
        <v>50000</v>
      </c>
      <c r="T14" s="4">
        <v>50000000000</v>
      </c>
      <c r="U14" s="4"/>
      <c r="V14" s="4">
        <v>0</v>
      </c>
      <c r="W14" s="4">
        <v>0</v>
      </c>
      <c r="X14" s="4"/>
      <c r="Y14" s="4">
        <v>50000</v>
      </c>
      <c r="Z14" s="4"/>
      <c r="AA14" s="203">
        <v>992000</v>
      </c>
      <c r="AB14" s="4"/>
      <c r="AC14" s="4">
        <v>50000000000</v>
      </c>
      <c r="AD14" s="4"/>
      <c r="AE14" s="4">
        <v>49591010000</v>
      </c>
      <c r="AF14" s="145"/>
      <c r="AG14" s="8">
        <f>AE14/[1]درآمدها!$J$6</f>
        <v>0.26753379253673837</v>
      </c>
      <c r="AH14" s="129"/>
      <c r="AI14" s="297"/>
      <c r="AJ14" s="297"/>
      <c r="AK14" s="294"/>
    </row>
    <row r="15" spans="1:37" ht="32.25" thickBot="1">
      <c r="A15" s="131" t="s">
        <v>2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4"/>
      <c r="N15" s="294"/>
      <c r="O15" s="295">
        <f>SUM(O9:O14)</f>
        <v>17056346587</v>
      </c>
      <c r="P15" s="294"/>
      <c r="Q15" s="295">
        <f>SUM(Q9:Q14)</f>
        <v>21668877808</v>
      </c>
      <c r="R15" s="294"/>
      <c r="S15" s="296"/>
      <c r="T15" s="295">
        <f>SUM(T9:T14)</f>
        <v>74990040416</v>
      </c>
      <c r="U15" s="294"/>
      <c r="V15" s="296"/>
      <c r="W15" s="295">
        <f>SUM(W9:W14)</f>
        <v>46839992306</v>
      </c>
      <c r="X15" s="294"/>
      <c r="Y15" s="296"/>
      <c r="Z15" s="294"/>
      <c r="AA15" s="294"/>
      <c r="AB15" s="294"/>
      <c r="AC15" s="295">
        <f>SUM(AC9:AC14)</f>
        <v>50000000000</v>
      </c>
      <c r="AD15" s="294"/>
      <c r="AE15" s="295">
        <f>SUM(AE9:AE14)</f>
        <v>49591010000</v>
      </c>
      <c r="AG15" s="148">
        <f>SUM(AG9:AG14)</f>
        <v>0.26753379253673837</v>
      </c>
      <c r="AH15" s="297"/>
      <c r="AI15" s="297"/>
      <c r="AJ15" s="297"/>
      <c r="AK15" s="294"/>
    </row>
    <row r="16" spans="1:37" ht="32.25" thickTop="1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O16" s="150"/>
      <c r="Q16" s="150"/>
      <c r="T16" s="150"/>
      <c r="W16" s="150"/>
      <c r="AC16" s="150"/>
      <c r="AE16" s="150"/>
      <c r="AG16" s="150"/>
    </row>
    <row r="18" spans="13:31" ht="30.75"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3:31" ht="30.75">
      <c r="M19" s="4"/>
      <c r="N19" s="4"/>
      <c r="O19" s="4"/>
      <c r="P19" s="4"/>
      <c r="Q19" s="4"/>
      <c r="R19" s="4"/>
      <c r="S19" s="4"/>
      <c r="T19" s="4"/>
      <c r="U19" s="4"/>
      <c r="V19" s="4"/>
      <c r="W19" s="218"/>
      <c r="X19" s="4"/>
      <c r="Y19" s="4"/>
      <c r="Z19" s="4"/>
      <c r="AA19" s="4"/>
      <c r="AB19" s="4"/>
      <c r="AC19" s="4"/>
      <c r="AD19" s="4"/>
      <c r="AE19" s="4"/>
    </row>
    <row r="20" spans="13:31" ht="30.75">
      <c r="M20" s="4"/>
      <c r="N20" s="4"/>
      <c r="O20" s="4"/>
      <c r="P20" s="4"/>
      <c r="Q20" s="4"/>
      <c r="R20" s="4"/>
      <c r="S20" s="4"/>
      <c r="T20" s="4"/>
      <c r="U20" s="4"/>
      <c r="V20" s="4"/>
      <c r="W20" s="218"/>
      <c r="X20" s="4"/>
      <c r="Y20" s="4"/>
      <c r="Z20" s="4"/>
      <c r="AA20" s="4"/>
      <c r="AB20" s="4"/>
      <c r="AC20" s="4"/>
      <c r="AD20" s="4"/>
      <c r="AE20" s="4"/>
    </row>
    <row r="22" spans="13:31" ht="30.75"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3:31" ht="30.75">
      <c r="M23" s="4"/>
      <c r="N23" s="4"/>
      <c r="O23" s="4"/>
      <c r="P23" s="4"/>
      <c r="Q23" s="4"/>
      <c r="R23" s="4"/>
      <c r="S23" s="4"/>
      <c r="T23" s="28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3:31" ht="30.75"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3:31">
      <c r="Q25" s="285"/>
      <c r="AC25" s="286"/>
      <c r="AE25" s="285"/>
    </row>
  </sheetData>
  <mergeCells count="28">
    <mergeCell ref="AE7:AE8"/>
    <mergeCell ref="AG7:AG8"/>
    <mergeCell ref="V7:W7"/>
    <mergeCell ref="Y7:Y8"/>
    <mergeCell ref="Z7:Z8"/>
    <mergeCell ref="AA7:AA8"/>
    <mergeCell ref="AC7:AC8"/>
    <mergeCell ref="AD7:AD8"/>
    <mergeCell ref="S7:T7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Q7:Q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D5D6-AED5-4413-A354-2904444B01D2}">
  <sheetPr>
    <pageSetUpPr fitToPage="1"/>
  </sheetPr>
  <dimension ref="A1:O15"/>
  <sheetViews>
    <sheetView rightToLeft="1" view="pageBreakPreview" zoomScaleNormal="100" zoomScaleSheetLayoutView="100" workbookViewId="0">
      <selection activeCell="M10" sqref="M10"/>
    </sheetView>
  </sheetViews>
  <sheetFormatPr defaultColWidth="9.140625" defaultRowHeight="22.5"/>
  <cols>
    <col min="1" max="1" width="41.140625" bestFit="1" customWidth="1"/>
    <col min="2" max="2" width="1" customWidth="1"/>
    <col min="3" max="3" width="17.85546875" customWidth="1"/>
    <col min="4" max="4" width="1.140625" customWidth="1"/>
    <col min="5" max="5" width="13.5703125" customWidth="1"/>
    <col min="6" max="6" width="1.140625" customWidth="1"/>
    <col min="7" max="7" width="13.5703125" bestFit="1" customWidth="1"/>
    <col min="8" max="8" width="1.140625" customWidth="1"/>
    <col min="9" max="9" width="10.5703125" bestFit="1" customWidth="1"/>
    <col min="10" max="10" width="0.85546875" customWidth="1"/>
    <col min="11" max="11" width="28.140625" customWidth="1"/>
    <col min="12" max="12" width="1.85546875" customWidth="1"/>
    <col min="13" max="13" width="58.28515625" customWidth="1"/>
    <col min="14" max="14" width="20.42578125" style="90" bestFit="1" customWidth="1"/>
    <col min="15" max="15" width="22.28515625" style="102" customWidth="1"/>
  </cols>
  <sheetData>
    <row r="1" spans="1:15" s="92" customFormat="1" ht="26.25">
      <c r="A1" s="339" t="s">
        <v>83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90"/>
      <c r="O1" s="91"/>
    </row>
    <row r="2" spans="1:15" s="92" customFormat="1" ht="23.25" customHeight="1">
      <c r="A2" s="339" t="s">
        <v>46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90"/>
      <c r="O2" s="91"/>
    </row>
    <row r="3" spans="1:15" s="92" customFormat="1" ht="24" customHeight="1">
      <c r="A3" s="339" t="str">
        <f>' سهام '!A3</f>
        <v>برای ماه منتهی به 1403/12/30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90"/>
      <c r="O3" s="91"/>
    </row>
    <row r="5" spans="1:15" s="275" customFormat="1">
      <c r="A5" s="340" t="s">
        <v>113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90"/>
      <c r="O5" s="91"/>
    </row>
    <row r="6" spans="1:15" s="275" customFormat="1">
      <c r="A6" s="340" t="s">
        <v>114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90"/>
      <c r="O6" s="91"/>
    </row>
    <row r="7" spans="1:15" s="275" customFormat="1" ht="27" customHeight="1">
      <c r="N7" s="90"/>
      <c r="O7" s="91"/>
    </row>
    <row r="8" spans="1:15" s="275" customFormat="1">
      <c r="C8" s="337" t="str">
        <f>[1]اوراق!Y6</f>
        <v>1403/12/30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90"/>
      <c r="O8" s="91"/>
    </row>
    <row r="9" spans="1:15" s="275" customFormat="1" ht="42">
      <c r="A9" s="93" t="s">
        <v>115</v>
      </c>
      <c r="C9" s="93" t="s">
        <v>116</v>
      </c>
      <c r="E9" s="94" t="s">
        <v>117</v>
      </c>
      <c r="G9" s="93" t="s">
        <v>118</v>
      </c>
      <c r="I9" s="93" t="s">
        <v>119</v>
      </c>
      <c r="K9" s="94" t="s">
        <v>120</v>
      </c>
      <c r="M9" s="93" t="s">
        <v>121</v>
      </c>
      <c r="N9" s="90"/>
      <c r="O9" s="95"/>
    </row>
    <row r="10" spans="1:15" ht="89.25" customHeight="1">
      <c r="A10" s="15" t="s">
        <v>154</v>
      </c>
      <c r="B10" s="96"/>
      <c r="C10" s="97">
        <v>50000</v>
      </c>
      <c r="D10" s="98"/>
      <c r="E10" s="108">
        <v>1000000</v>
      </c>
      <c r="F10" s="99"/>
      <c r="G10" s="99">
        <v>992000</v>
      </c>
      <c r="H10" s="96"/>
      <c r="I10" s="107">
        <f>(G10-E10)/E10</f>
        <v>-8.0000000000000002E-3</v>
      </c>
      <c r="J10" s="96"/>
      <c r="K10" s="99">
        <f>[1]اوراق!AE14</f>
        <v>49591010000</v>
      </c>
      <c r="L10" s="100"/>
      <c r="M10" s="304" t="s">
        <v>178</v>
      </c>
      <c r="N10" s="101"/>
    </row>
    <row r="11" spans="1:15" ht="23.25" thickBot="1">
      <c r="A11" s="103"/>
      <c r="B11" s="96"/>
      <c r="C11" s="104"/>
      <c r="D11" s="103"/>
      <c r="E11" s="105"/>
      <c r="F11" s="103"/>
      <c r="G11" s="105"/>
      <c r="H11" s="96"/>
      <c r="I11" s="96"/>
      <c r="J11" s="96"/>
      <c r="K11" s="105">
        <f>SUM(K10)</f>
        <v>49591010000</v>
      </c>
      <c r="L11" s="96"/>
      <c r="M11" s="96"/>
    </row>
    <row r="12" spans="1:15" ht="23.25" thickTop="1"/>
    <row r="13" spans="1:15">
      <c r="C13" s="104"/>
      <c r="K13" s="104"/>
    </row>
    <row r="14" spans="1:15">
      <c r="C14" s="89"/>
    </row>
    <row r="15" spans="1:15">
      <c r="C15" s="104"/>
    </row>
  </sheetData>
  <autoFilter ref="A9:M9" xr:uid="{00000000-0009-0000-0000-000004000000}">
    <sortState xmlns:xlrd2="http://schemas.microsoft.com/office/spreadsheetml/2017/richdata2" ref="A10:P16">
      <sortCondition descending="1" ref="K9"/>
    </sortState>
  </autoFilter>
  <mergeCells count="6">
    <mergeCell ref="C8:M8"/>
    <mergeCell ref="A1:M1"/>
    <mergeCell ref="A2:M2"/>
    <mergeCell ref="A3:M3"/>
    <mergeCell ref="A5:M5"/>
    <mergeCell ref="A6:M6"/>
  </mergeCells>
  <printOptions horizontalCentered="1"/>
  <pageMargins left="0" right="0.28999999999999998" top="0.52" bottom="0" header="0.75" footer="0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9271-FDC1-45B9-A311-011B55C4472F}">
  <sheetPr>
    <pageSetUpPr fitToPage="1"/>
  </sheetPr>
  <dimension ref="A1:R30"/>
  <sheetViews>
    <sheetView rightToLeft="1" view="pageBreakPreview" zoomScaleNormal="100" zoomScaleSheetLayoutView="100" workbookViewId="0">
      <selection activeCell="C17" sqref="C16:I17"/>
    </sheetView>
  </sheetViews>
  <sheetFormatPr defaultColWidth="9.140625" defaultRowHeight="15"/>
  <cols>
    <col min="1" max="1" width="39.140625" style="151" bestFit="1" customWidth="1"/>
    <col min="2" max="2" width="0.7109375" style="151" customWidth="1"/>
    <col min="3" max="3" width="21.28515625" style="14" customWidth="1"/>
    <col min="4" max="4" width="0.7109375" style="151" customWidth="1"/>
    <col min="5" max="5" width="22.28515625" style="151" customWidth="1"/>
    <col min="6" max="6" width="0.42578125" style="151" customWidth="1"/>
    <col min="7" max="7" width="22.140625" style="151" customWidth="1"/>
    <col min="8" max="8" width="0.42578125" style="151" customWidth="1"/>
    <col min="9" max="9" width="18.42578125" style="151" customWidth="1"/>
    <col min="10" max="10" width="0.5703125" style="151" customWidth="1"/>
    <col min="11" max="11" width="12.140625" style="151" customWidth="1"/>
    <col min="12" max="12" width="12.85546875" style="151" bestFit="1" customWidth="1"/>
    <col min="13" max="13" width="11.28515625" style="151" bestFit="1" customWidth="1"/>
    <col min="14" max="16384" width="9.140625" style="151"/>
  </cols>
  <sheetData>
    <row r="1" spans="1:18" ht="18.75">
      <c r="A1" s="342" t="s">
        <v>83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8" ht="18.75">
      <c r="A2" s="342" t="s">
        <v>46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</row>
    <row r="3" spans="1:18" ht="18.75">
      <c r="A3" s="342" t="str">
        <f>' سهام '!A3</f>
        <v>برای ماه منتهی به 1403/12/30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</row>
    <row r="4" spans="1:18" ht="18.75">
      <c r="A4" s="343" t="s">
        <v>47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8" ht="18.75" thickBot="1">
      <c r="A5" s="54"/>
      <c r="B5" s="54"/>
      <c r="C5" s="10"/>
      <c r="D5" s="152"/>
      <c r="E5" s="152"/>
      <c r="F5" s="152"/>
      <c r="G5" s="152"/>
      <c r="H5" s="152"/>
      <c r="I5" s="152"/>
      <c r="J5" s="152"/>
      <c r="K5" s="152"/>
    </row>
    <row r="6" spans="1:18" ht="18.75" customHeight="1" thickBot="1">
      <c r="A6" s="153"/>
      <c r="B6" s="54"/>
      <c r="C6" s="278" t="str">
        <f>[1]اوراق!M6</f>
        <v>1403/11/30</v>
      </c>
      <c r="D6" s="280"/>
      <c r="E6" s="344" t="s">
        <v>7</v>
      </c>
      <c r="F6" s="344"/>
      <c r="G6" s="344"/>
      <c r="H6" s="54"/>
      <c r="I6" s="345" t="str">
        <f>[1]اوراق!Y6</f>
        <v>1403/12/30</v>
      </c>
      <c r="J6" s="346"/>
      <c r="K6" s="346"/>
    </row>
    <row r="7" spans="1:18" ht="24" customHeight="1">
      <c r="A7" s="349" t="s">
        <v>8</v>
      </c>
      <c r="B7" s="155"/>
      <c r="C7" s="351" t="s">
        <v>6</v>
      </c>
      <c r="D7" s="155"/>
      <c r="E7" s="353" t="s">
        <v>31</v>
      </c>
      <c r="F7" s="156"/>
      <c r="G7" s="353" t="s">
        <v>32</v>
      </c>
      <c r="H7" s="54"/>
      <c r="I7" s="355" t="s">
        <v>6</v>
      </c>
      <c r="J7" s="349"/>
      <c r="K7" s="347" t="s">
        <v>19</v>
      </c>
    </row>
    <row r="8" spans="1:18" ht="18.75" thickBot="1">
      <c r="A8" s="350"/>
      <c r="B8" s="155"/>
      <c r="C8" s="352"/>
      <c r="D8" s="155"/>
      <c r="E8" s="354"/>
      <c r="F8" s="54"/>
      <c r="G8" s="354"/>
      <c r="H8" s="54"/>
      <c r="I8" s="356"/>
      <c r="J8" s="349"/>
      <c r="K8" s="348"/>
    </row>
    <row r="9" spans="1:18" ht="18">
      <c r="A9" s="276" t="s">
        <v>123</v>
      </c>
      <c r="B9" s="155"/>
      <c r="C9" s="277">
        <v>240000000</v>
      </c>
      <c r="D9" s="155"/>
      <c r="E9" s="277">
        <v>0</v>
      </c>
      <c r="F9" s="277"/>
      <c r="G9" s="277">
        <v>240000000</v>
      </c>
      <c r="H9" s="277"/>
      <c r="I9" s="277">
        <v>0</v>
      </c>
      <c r="J9" s="276"/>
      <c r="K9" s="12">
        <f>I9/[1]درآمدها!$J$6</f>
        <v>0</v>
      </c>
      <c r="L9" s="277"/>
      <c r="M9" s="215"/>
    </row>
    <row r="10" spans="1:18" ht="18">
      <c r="A10" s="276" t="s">
        <v>139</v>
      </c>
      <c r="B10" s="155"/>
      <c r="C10" s="277">
        <v>592021516</v>
      </c>
      <c r="D10" s="155"/>
      <c r="E10" s="277">
        <v>32986032874</v>
      </c>
      <c r="F10" s="277"/>
      <c r="G10" s="277">
        <v>33575992623</v>
      </c>
      <c r="H10" s="277"/>
      <c r="I10" s="277">
        <v>2061767</v>
      </c>
      <c r="J10" s="276"/>
      <c r="K10" s="12">
        <f>I10/[1]درآمدها!$J$6</f>
        <v>1.1122829416805453E-5</v>
      </c>
      <c r="L10" s="277"/>
      <c r="M10" s="215"/>
    </row>
    <row r="11" spans="1:18" ht="18">
      <c r="A11" s="276" t="s">
        <v>137</v>
      </c>
      <c r="B11" s="155"/>
      <c r="C11" s="277">
        <v>24094975825</v>
      </c>
      <c r="D11" s="155"/>
      <c r="E11" s="277">
        <v>120144787022</v>
      </c>
      <c r="F11" s="277"/>
      <c r="G11" s="277">
        <v>109041953645</v>
      </c>
      <c r="H11" s="277"/>
      <c r="I11" s="277">
        <v>35197809202</v>
      </c>
      <c r="J11" s="276"/>
      <c r="K11" s="12">
        <f>I11/[1]درآمدها!$J$6</f>
        <v>0.18988529140252575</v>
      </c>
      <c r="L11" s="277"/>
      <c r="M11" s="215"/>
    </row>
    <row r="12" spans="1:18" ht="18">
      <c r="A12" s="276" t="s">
        <v>90</v>
      </c>
      <c r="B12" s="155"/>
      <c r="C12" s="277">
        <v>28427652</v>
      </c>
      <c r="D12" s="155"/>
      <c r="E12" s="277">
        <v>243941106</v>
      </c>
      <c r="F12" s="277"/>
      <c r="G12" s="277">
        <v>270340973</v>
      </c>
      <c r="H12" s="277"/>
      <c r="I12" s="277">
        <v>2027785</v>
      </c>
      <c r="J12" s="276"/>
      <c r="K12" s="12">
        <f>I12/[1]درآمدها!$J$6</f>
        <v>1.0939503178078244E-5</v>
      </c>
      <c r="L12" s="277"/>
      <c r="M12" s="215"/>
    </row>
    <row r="13" spans="1:18" s="54" customFormat="1" ht="18">
      <c r="A13" s="276" t="s">
        <v>140</v>
      </c>
      <c r="B13" s="155"/>
      <c r="C13" s="277">
        <v>32000000000</v>
      </c>
      <c r="D13" s="155"/>
      <c r="E13" s="277">
        <v>0</v>
      </c>
      <c r="F13" s="277"/>
      <c r="G13" s="277">
        <v>32000000000</v>
      </c>
      <c r="H13" s="277"/>
      <c r="I13" s="277">
        <v>0</v>
      </c>
      <c r="J13" s="276"/>
      <c r="K13" s="12">
        <f>I13/[1]درآمدها!$J$6</f>
        <v>0</v>
      </c>
      <c r="L13" s="277"/>
      <c r="M13" s="215"/>
      <c r="N13" s="158"/>
      <c r="O13" s="53"/>
      <c r="P13" s="158"/>
      <c r="Q13" s="53"/>
      <c r="R13" s="158"/>
    </row>
    <row r="14" spans="1:18" s="54" customFormat="1" ht="24" customHeight="1">
      <c r="A14" s="276" t="s">
        <v>157</v>
      </c>
      <c r="B14" s="155"/>
      <c r="C14" s="277">
        <v>0</v>
      </c>
      <c r="D14" s="155"/>
      <c r="E14" s="277">
        <v>22671000000</v>
      </c>
      <c r="F14" s="277"/>
      <c r="G14" s="277">
        <v>0</v>
      </c>
      <c r="H14" s="277"/>
      <c r="I14" s="277">
        <v>22671000000</v>
      </c>
      <c r="J14" s="276"/>
      <c r="K14" s="12">
        <f>I14/[1]درآمدها!$J$6</f>
        <v>0.12230560762122802</v>
      </c>
      <c r="L14" s="277"/>
      <c r="M14" s="215"/>
    </row>
    <row r="15" spans="1:18" ht="18">
      <c r="A15" s="276" t="s">
        <v>158</v>
      </c>
      <c r="B15" s="155"/>
      <c r="C15" s="277">
        <v>0</v>
      </c>
      <c r="D15" s="155"/>
      <c r="E15" s="277">
        <v>22673500000</v>
      </c>
      <c r="F15" s="277"/>
      <c r="G15" s="277">
        <v>22671510000</v>
      </c>
      <c r="H15" s="277"/>
      <c r="I15" s="277">
        <v>1990000</v>
      </c>
      <c r="J15" s="276"/>
      <c r="K15" s="12">
        <f>I15/[1]درآمدها!$J$6</f>
        <v>1.073566049870953E-5</v>
      </c>
      <c r="L15" s="277"/>
      <c r="M15" s="215"/>
    </row>
    <row r="16" spans="1:18" ht="18.75" thickBot="1">
      <c r="A16" s="276" t="s">
        <v>159</v>
      </c>
      <c r="B16" s="155"/>
      <c r="C16" s="288">
        <v>0</v>
      </c>
      <c r="D16" s="402"/>
      <c r="E16" s="288">
        <v>10000000</v>
      </c>
      <c r="F16" s="288"/>
      <c r="G16" s="288">
        <v>0</v>
      </c>
      <c r="H16" s="288"/>
      <c r="I16" s="288">
        <v>10000000</v>
      </c>
      <c r="J16" s="276"/>
      <c r="K16" s="12">
        <f>I16/[1]درآمدها!$J$6</f>
        <v>5.3948042707083068E-5</v>
      </c>
      <c r="L16" s="277"/>
      <c r="M16" s="215"/>
    </row>
    <row r="17" spans="1:11" ht="18.75" thickBot="1">
      <c r="A17" s="155" t="s">
        <v>2</v>
      </c>
      <c r="B17" s="155"/>
      <c r="C17" s="403">
        <f>SUM(C9:C16)</f>
        <v>56955424993</v>
      </c>
      <c r="D17" s="404"/>
      <c r="E17" s="405">
        <f>SUM(E9:E16)</f>
        <v>198729261002</v>
      </c>
      <c r="F17" s="404"/>
      <c r="G17" s="403">
        <f>SUM(G9:G16)</f>
        <v>197799797241</v>
      </c>
      <c r="H17" s="404"/>
      <c r="I17" s="403">
        <f>SUM(I9:I16)</f>
        <v>57884888754</v>
      </c>
      <c r="J17" s="54"/>
      <c r="K17" s="13">
        <f>SUM(K9:K16)</f>
        <v>0.31227764505955447</v>
      </c>
    </row>
    <row r="18" spans="1:11" ht="18.75" thickTop="1">
      <c r="D18" s="54"/>
      <c r="F18" s="54"/>
      <c r="H18" s="54"/>
      <c r="J18" s="54"/>
    </row>
    <row r="19" spans="1:11" ht="18">
      <c r="D19" s="54"/>
      <c r="F19" s="54"/>
      <c r="H19" s="54"/>
      <c r="J19" s="54"/>
    </row>
    <row r="20" spans="1:11" ht="18">
      <c r="C20" s="157"/>
      <c r="D20" s="157"/>
      <c r="E20" s="157"/>
      <c r="F20" s="157"/>
      <c r="G20" s="157"/>
      <c r="H20" s="157"/>
      <c r="I20" s="157"/>
      <c r="J20" s="157"/>
      <c r="K20" s="157"/>
    </row>
    <row r="21" spans="1:11" ht="18">
      <c r="C21" s="221"/>
      <c r="D21" s="222"/>
      <c r="E21" s="221"/>
      <c r="F21" s="221"/>
      <c r="G21" s="221"/>
      <c r="H21" s="221"/>
      <c r="I21" s="221"/>
    </row>
    <row r="22" spans="1:11" ht="18">
      <c r="C22" s="219"/>
      <c r="D22" s="220"/>
      <c r="E22" s="219"/>
      <c r="F22" s="219"/>
      <c r="G22" s="219"/>
      <c r="H22" s="219"/>
      <c r="I22" s="219"/>
    </row>
    <row r="24" spans="1:11">
      <c r="E24" s="215"/>
      <c r="G24" s="215"/>
      <c r="I24" s="215"/>
    </row>
    <row r="25" spans="1:11">
      <c r="E25" s="264"/>
      <c r="G25" s="264"/>
      <c r="I25" s="264"/>
    </row>
    <row r="26" spans="1:11">
      <c r="E26" s="264"/>
      <c r="G26" s="264"/>
    </row>
    <row r="27" spans="1:11">
      <c r="E27" s="264"/>
      <c r="G27" s="264"/>
    </row>
    <row r="28" spans="1:11">
      <c r="E28" s="264"/>
      <c r="G28" s="264"/>
      <c r="I28" s="264"/>
    </row>
    <row r="29" spans="1:11">
      <c r="E29" s="264"/>
      <c r="G29" s="264"/>
      <c r="I29" s="264"/>
    </row>
    <row r="30" spans="1:11">
      <c r="D30" s="14"/>
      <c r="E30" s="14"/>
      <c r="F30" s="14"/>
      <c r="G30" s="14"/>
      <c r="H30" s="14"/>
      <c r="I30" s="14"/>
    </row>
  </sheetData>
  <autoFilter ref="A8:K8" xr:uid="{00000000-0009-0000-0000-000003000000}">
    <sortState xmlns:xlrd2="http://schemas.microsoft.com/office/spreadsheetml/2017/richdata2" ref="A10:K11">
      <sortCondition descending="1" ref="I8"/>
    </sortState>
  </autoFilter>
  <mergeCells count="13">
    <mergeCell ref="K7:K8"/>
    <mergeCell ref="A7:A8"/>
    <mergeCell ref="C7:C8"/>
    <mergeCell ref="E7:E8"/>
    <mergeCell ref="G7:G8"/>
    <mergeCell ref="I7:I8"/>
    <mergeCell ref="J7:J8"/>
    <mergeCell ref="A1:K1"/>
    <mergeCell ref="A2:K2"/>
    <mergeCell ref="A3:K3"/>
    <mergeCell ref="A4:K4"/>
    <mergeCell ref="E6:G6"/>
    <mergeCell ref="I6:K6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3"/>
  <sheetViews>
    <sheetView rightToLeft="1" tabSelected="1" view="pageBreakPreview" zoomScaleNormal="100" zoomScaleSheetLayoutView="100" workbookViewId="0">
      <selection activeCell="A22" sqref="A22"/>
    </sheetView>
  </sheetViews>
  <sheetFormatPr defaultColWidth="9.140625" defaultRowHeight="18"/>
  <cols>
    <col min="1" max="1" width="71" style="84" bestFit="1" customWidth="1"/>
    <col min="2" max="2" width="1" style="84" customWidth="1"/>
    <col min="3" max="3" width="9.140625" style="16"/>
    <col min="4" max="4" width="1.140625" style="16" customWidth="1"/>
    <col min="5" max="5" width="25.42578125" style="16" bestFit="1" customWidth="1"/>
    <col min="6" max="6" width="1" style="16" customWidth="1"/>
    <col min="7" max="7" width="14.5703125" style="16" bestFit="1" customWidth="1"/>
    <col min="8" max="8" width="0.7109375" style="16" customWidth="1"/>
    <col min="9" max="9" width="14.85546875" style="16" bestFit="1" customWidth="1"/>
    <col min="10" max="10" width="23.42578125" style="85" bestFit="1" customWidth="1"/>
    <col min="11" max="11" width="17.7109375" style="85" bestFit="1" customWidth="1"/>
    <col min="12" max="12" width="14.28515625" style="16" bestFit="1" customWidth="1"/>
    <col min="13" max="13" width="12.5703125" style="16" bestFit="1" customWidth="1"/>
    <col min="14" max="14" width="9.5703125" style="16" bestFit="1" customWidth="1"/>
    <col min="15" max="16384" width="9.140625" style="16"/>
  </cols>
  <sheetData>
    <row r="1" spans="1:14" ht="21">
      <c r="A1" s="358" t="s">
        <v>83</v>
      </c>
      <c r="B1" s="358"/>
      <c r="C1" s="358"/>
      <c r="D1" s="358"/>
      <c r="E1" s="358"/>
      <c r="F1" s="358"/>
      <c r="G1" s="358"/>
      <c r="H1" s="358"/>
      <c r="I1" s="358"/>
      <c r="J1" s="72"/>
      <c r="K1" s="72"/>
    </row>
    <row r="2" spans="1:14" ht="21">
      <c r="A2" s="358" t="s">
        <v>46</v>
      </c>
      <c r="B2" s="358"/>
      <c r="C2" s="358"/>
      <c r="D2" s="358"/>
      <c r="E2" s="358"/>
      <c r="F2" s="358"/>
      <c r="G2" s="358"/>
      <c r="H2" s="358"/>
      <c r="I2" s="358"/>
      <c r="J2" s="72"/>
      <c r="K2" s="72"/>
    </row>
    <row r="3" spans="1:14" ht="21">
      <c r="A3" s="358" t="str">
        <f>سپرده!A3</f>
        <v>برای ماه منتهی به 1403/12/30</v>
      </c>
      <c r="B3" s="358"/>
      <c r="C3" s="358"/>
      <c r="D3" s="358"/>
      <c r="E3" s="358"/>
      <c r="F3" s="358"/>
      <c r="G3" s="358"/>
      <c r="H3" s="358"/>
      <c r="I3" s="358"/>
      <c r="J3" s="72"/>
      <c r="K3" s="72"/>
    </row>
    <row r="4" spans="1:14" ht="21.75" thickBot="1">
      <c r="A4" s="223"/>
      <c r="B4" s="223"/>
      <c r="C4" s="223"/>
      <c r="D4" s="223"/>
      <c r="E4" s="223"/>
      <c r="F4" s="223"/>
      <c r="G4" s="223"/>
      <c r="H4" s="223"/>
      <c r="I4" s="223"/>
      <c r="J4" s="72"/>
      <c r="K4" s="72"/>
    </row>
    <row r="5" spans="1:14" ht="21.75" thickBot="1">
      <c r="A5" s="243" t="s">
        <v>24</v>
      </c>
      <c r="B5" s="74"/>
      <c r="C5" s="74"/>
      <c r="D5" s="74"/>
      <c r="E5" s="74"/>
      <c r="F5" s="74"/>
      <c r="G5" s="74"/>
      <c r="H5" s="74"/>
      <c r="I5" s="74"/>
      <c r="J5" s="75">
        <v>26929184909</v>
      </c>
      <c r="K5" s="76" t="s">
        <v>82</v>
      </c>
    </row>
    <row r="6" spans="1:14" ht="21.75" customHeight="1" thickBot="1">
      <c r="A6" s="73"/>
      <c r="B6" s="73"/>
      <c r="C6" s="73"/>
      <c r="D6" s="73"/>
      <c r="E6" s="357" t="str">
        <f>'اوراق '!Y6</f>
        <v>1403/12/30</v>
      </c>
      <c r="F6" s="357"/>
      <c r="G6" s="357"/>
      <c r="H6" s="357"/>
      <c r="I6" s="357"/>
      <c r="J6" s="75">
        <v>185363536807</v>
      </c>
      <c r="K6" s="76" t="s">
        <v>81</v>
      </c>
    </row>
    <row r="7" spans="1:14" ht="21.75" customHeight="1" thickBot="1">
      <c r="A7" s="77" t="s">
        <v>33</v>
      </c>
      <c r="B7" s="78"/>
      <c r="C7" s="56" t="s">
        <v>34</v>
      </c>
      <c r="D7" s="79"/>
      <c r="E7" s="56" t="s">
        <v>6</v>
      </c>
      <c r="F7" s="79"/>
      <c r="G7" s="56" t="s">
        <v>16</v>
      </c>
      <c r="H7" s="79"/>
      <c r="I7" s="56" t="s">
        <v>80</v>
      </c>
      <c r="J7" s="80"/>
      <c r="K7" s="80"/>
    </row>
    <row r="8" spans="1:14" ht="21" customHeight="1">
      <c r="A8" s="57" t="s">
        <v>91</v>
      </c>
      <c r="B8" s="57"/>
      <c r="C8" s="81" t="s">
        <v>48</v>
      </c>
      <c r="D8" s="74"/>
      <c r="E8" s="124">
        <f>'درآمد سرمایه گذاری در سهام '!S56</f>
        <v>21674702982</v>
      </c>
      <c r="F8" s="87"/>
      <c r="G8" s="125">
        <f>E8/$E$12</f>
        <v>0.82686624643491557</v>
      </c>
      <c r="H8" s="86"/>
      <c r="I8" s="125">
        <f>E8/$J$6</f>
        <v>0.11693078021362767</v>
      </c>
      <c r="J8" s="80"/>
      <c r="K8" s="80"/>
    </row>
    <row r="9" spans="1:14" ht="18.75" customHeight="1">
      <c r="A9" s="57" t="s">
        <v>43</v>
      </c>
      <c r="B9" s="57"/>
      <c r="C9" s="81" t="s">
        <v>49</v>
      </c>
      <c r="D9" s="74"/>
      <c r="E9" s="124">
        <f>'درآمد سرمایه گذاری در اوراق بها'!Q16</f>
        <v>2092959589</v>
      </c>
      <c r="F9" s="87"/>
      <c r="G9" s="125">
        <f t="shared" ref="G9:G11" si="0">E9/$E$12</f>
        <v>7.9844122465419151E-2</v>
      </c>
      <c r="H9" s="86"/>
      <c r="I9" s="125">
        <f t="shared" ref="I9:I11" si="1">E9/$J$6</f>
        <v>1.1291107329157102E-2</v>
      </c>
      <c r="J9" s="80"/>
      <c r="K9" s="80"/>
      <c r="L9" s="80"/>
      <c r="N9" s="82"/>
    </row>
    <row r="10" spans="1:14" ht="18.75" customHeight="1">
      <c r="A10" s="57" t="s">
        <v>44</v>
      </c>
      <c r="B10" s="57"/>
      <c r="C10" s="81" t="s">
        <v>50</v>
      </c>
      <c r="D10" s="74"/>
      <c r="E10" s="124">
        <f>'درآمد سپرده بانکی'!G14</f>
        <v>2385728477</v>
      </c>
      <c r="F10" s="87"/>
      <c r="G10" s="125">
        <f t="shared" si="0"/>
        <v>9.1012935791005334E-2</v>
      </c>
      <c r="H10" s="86"/>
      <c r="I10" s="125">
        <f t="shared" si="1"/>
        <v>1.2870538176470023E-2</v>
      </c>
      <c r="J10" s="80"/>
      <c r="K10" s="80"/>
      <c r="N10" s="82"/>
    </row>
    <row r="11" spans="1:14" ht="19.5" customHeight="1" thickBot="1">
      <c r="A11" s="57" t="s">
        <v>29</v>
      </c>
      <c r="B11" s="57"/>
      <c r="C11" s="81" t="s">
        <v>51</v>
      </c>
      <c r="D11" s="74"/>
      <c r="E11" s="124">
        <f>'سایر درآمدها'!E10</f>
        <v>59679174</v>
      </c>
      <c r="F11" s="87"/>
      <c r="G11" s="125">
        <f t="shared" si="0"/>
        <v>2.2766953086599028E-3</v>
      </c>
      <c r="H11" s="86"/>
      <c r="I11" s="125">
        <f t="shared" si="1"/>
        <v>3.2195746276754411E-4</v>
      </c>
      <c r="J11" s="80"/>
      <c r="K11" s="80"/>
      <c r="N11" s="82"/>
    </row>
    <row r="12" spans="1:14" ht="19.5" customHeight="1" thickBot="1">
      <c r="A12" s="57" t="s">
        <v>2</v>
      </c>
      <c r="B12" s="83"/>
      <c r="C12" s="21"/>
      <c r="D12" s="21"/>
      <c r="E12" s="128">
        <f>SUM(E8:E11)</f>
        <v>26213070222</v>
      </c>
      <c r="F12" s="88"/>
      <c r="G12" s="126">
        <f>SUM(G8:G11)</f>
        <v>1</v>
      </c>
      <c r="H12" s="86"/>
      <c r="I12" s="127">
        <f>SUM(I8:I11)</f>
        <v>0.14141438318202232</v>
      </c>
      <c r="J12" s="80"/>
      <c r="K12" s="80"/>
    </row>
    <row r="13" spans="1:14" ht="18.75" customHeight="1" thickTop="1">
      <c r="J13" s="80"/>
      <c r="K13" s="80"/>
    </row>
    <row r="14" spans="1:14" ht="18" customHeight="1">
      <c r="E14" s="17"/>
      <c r="F14" s="17"/>
      <c r="G14" s="17"/>
      <c r="J14" s="80"/>
      <c r="K14" s="80"/>
    </row>
    <row r="16" spans="1:14">
      <c r="A16" s="84" t="s">
        <v>55</v>
      </c>
    </row>
    <row r="22" ht="18.75" customHeight="1"/>
    <row r="31" ht="18.75" customHeight="1"/>
    <row r="32" ht="17.45" customHeight="1"/>
    <row r="33" ht="17.45" customHeight="1"/>
  </sheetData>
  <mergeCells count="4">
    <mergeCell ref="E6:I6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93"/>
  <sheetViews>
    <sheetView rightToLeft="1" view="pageBreakPreview" topLeftCell="A49" zoomScale="55" zoomScaleNormal="100" zoomScaleSheetLayoutView="55" workbookViewId="0">
      <selection activeCell="A58" sqref="A58:V63"/>
    </sheetView>
  </sheetViews>
  <sheetFormatPr defaultColWidth="9.140625" defaultRowHeight="15"/>
  <cols>
    <col min="1" max="1" width="63" style="182" bestFit="1" customWidth="1"/>
    <col min="2" max="2" width="1.28515625" style="182" customWidth="1"/>
    <col min="3" max="3" width="29" style="37" bestFit="1" customWidth="1"/>
    <col min="4" max="4" width="1" style="182" customWidth="1"/>
    <col min="5" max="5" width="34" style="38" bestFit="1" customWidth="1"/>
    <col min="6" max="6" width="1.42578125" style="38" customWidth="1"/>
    <col min="7" max="7" width="31.85546875" style="38" bestFit="1" customWidth="1"/>
    <col min="8" max="8" width="1" style="192" customWidth="1"/>
    <col min="9" max="9" width="34" style="192" bestFit="1" customWidth="1"/>
    <col min="10" max="10" width="2" style="192" customWidth="1"/>
    <col min="11" max="11" width="22.42578125" style="193" bestFit="1" customWidth="1"/>
    <col min="12" max="12" width="1.5703125" style="182" customWidth="1"/>
    <col min="13" max="13" width="29" style="37" bestFit="1" customWidth="1"/>
    <col min="14" max="14" width="0.85546875" style="37" customWidth="1"/>
    <col min="15" max="15" width="34" style="38" bestFit="1" customWidth="1"/>
    <col min="16" max="16" width="0.85546875" style="38" customWidth="1"/>
    <col min="17" max="17" width="31.85546875" style="38" bestFit="1" customWidth="1"/>
    <col min="18" max="18" width="0.85546875" style="38" customWidth="1"/>
    <col min="19" max="19" width="34" style="38" bestFit="1" customWidth="1"/>
    <col min="20" max="20" width="1.42578125" style="38" customWidth="1"/>
    <col min="21" max="21" width="22.42578125" style="193" bestFit="1" customWidth="1"/>
    <col min="22" max="22" width="22.140625" style="182" customWidth="1"/>
    <col min="23" max="23" width="54.140625" style="182" bestFit="1" customWidth="1"/>
    <col min="24" max="24" width="21.7109375" style="182" bestFit="1" customWidth="1"/>
    <col min="25" max="25" width="51.85546875" style="182" bestFit="1" customWidth="1"/>
    <col min="26" max="26" width="21.7109375" style="182" bestFit="1" customWidth="1"/>
    <col min="27" max="27" width="18.85546875" style="182" bestFit="1" customWidth="1"/>
    <col min="28" max="16384" width="9.140625" style="182"/>
  </cols>
  <sheetData>
    <row r="1" spans="1:27" ht="27.75">
      <c r="A1" s="359" t="s">
        <v>83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7" ht="27.75">
      <c r="A2" s="359" t="s">
        <v>52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</row>
    <row r="3" spans="1:27" ht="27.75">
      <c r="A3" s="359" t="str">
        <f>درآمدها!A3</f>
        <v>برای ماه منتهی به 1403/12/30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</row>
    <row r="5" spans="1:27" s="183" customFormat="1" ht="24.75">
      <c r="A5" s="327" t="s">
        <v>25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</row>
    <row r="6" spans="1:27" s="183" customFormat="1" ht="9.75" customHeight="1">
      <c r="C6" s="31"/>
      <c r="E6" s="33"/>
      <c r="F6" s="33"/>
      <c r="G6" s="33"/>
      <c r="H6" s="184"/>
      <c r="I6" s="184"/>
      <c r="J6" s="184"/>
      <c r="K6" s="65"/>
      <c r="M6" s="31"/>
      <c r="N6" s="31"/>
      <c r="O6" s="33"/>
      <c r="P6" s="33"/>
      <c r="Q6" s="33"/>
      <c r="R6" s="33"/>
      <c r="S6" s="33"/>
      <c r="T6" s="33"/>
      <c r="U6" s="65"/>
    </row>
    <row r="7" spans="1:27" s="183" customFormat="1" ht="27" customHeight="1" thickBot="1">
      <c r="A7" s="185"/>
      <c r="B7" s="186"/>
      <c r="C7" s="359" t="s">
        <v>174</v>
      </c>
      <c r="D7" s="359"/>
      <c r="E7" s="359"/>
      <c r="F7" s="359"/>
      <c r="G7" s="359"/>
      <c r="H7" s="359"/>
      <c r="I7" s="359"/>
      <c r="J7" s="359"/>
      <c r="K7" s="359"/>
      <c r="L7" s="186"/>
      <c r="M7" s="359" t="s">
        <v>175</v>
      </c>
      <c r="N7" s="359"/>
      <c r="O7" s="359"/>
      <c r="P7" s="359"/>
      <c r="Q7" s="359"/>
      <c r="R7" s="359"/>
      <c r="S7" s="359"/>
      <c r="T7" s="359"/>
      <c r="U7" s="359"/>
    </row>
    <row r="8" spans="1:27" s="63" customFormat="1" ht="24.75" customHeight="1">
      <c r="A8" s="374" t="s">
        <v>21</v>
      </c>
      <c r="B8" s="374"/>
      <c r="C8" s="360" t="s">
        <v>9</v>
      </c>
      <c r="D8" s="376"/>
      <c r="E8" s="362" t="s">
        <v>10</v>
      </c>
      <c r="F8" s="369"/>
      <c r="G8" s="362" t="s">
        <v>11</v>
      </c>
      <c r="H8" s="372"/>
      <c r="I8" s="364" t="s">
        <v>2</v>
      </c>
      <c r="J8" s="364"/>
      <c r="K8" s="364"/>
      <c r="L8" s="374"/>
      <c r="M8" s="360" t="s">
        <v>9</v>
      </c>
      <c r="N8" s="366"/>
      <c r="O8" s="362" t="s">
        <v>10</v>
      </c>
      <c r="P8" s="369"/>
      <c r="Q8" s="362" t="s">
        <v>11</v>
      </c>
      <c r="R8" s="369"/>
      <c r="S8" s="364" t="s">
        <v>2</v>
      </c>
      <c r="T8" s="364"/>
      <c r="U8" s="364"/>
    </row>
    <row r="9" spans="1:27" s="63" customFormat="1" ht="6" customHeight="1" thickBot="1">
      <c r="A9" s="374"/>
      <c r="B9" s="374"/>
      <c r="C9" s="361"/>
      <c r="D9" s="374"/>
      <c r="E9" s="363"/>
      <c r="F9" s="370"/>
      <c r="G9" s="363"/>
      <c r="H9" s="373"/>
      <c r="I9" s="365"/>
      <c r="J9" s="365"/>
      <c r="K9" s="365"/>
      <c r="L9" s="374"/>
      <c r="M9" s="361"/>
      <c r="N9" s="367"/>
      <c r="O9" s="363"/>
      <c r="P9" s="370"/>
      <c r="Q9" s="363"/>
      <c r="R9" s="370"/>
      <c r="S9" s="365"/>
      <c r="T9" s="365"/>
      <c r="U9" s="365"/>
    </row>
    <row r="10" spans="1:27" s="63" customFormat="1" ht="42.75" customHeight="1" thickBot="1">
      <c r="A10" s="375"/>
      <c r="B10" s="374"/>
      <c r="C10" s="34" t="s">
        <v>56</v>
      </c>
      <c r="D10" s="374"/>
      <c r="E10" s="35" t="s">
        <v>57</v>
      </c>
      <c r="F10" s="371"/>
      <c r="G10" s="35" t="s">
        <v>58</v>
      </c>
      <c r="H10" s="373"/>
      <c r="I10" s="187" t="s">
        <v>6</v>
      </c>
      <c r="J10" s="187"/>
      <c r="K10" s="188" t="s">
        <v>16</v>
      </c>
      <c r="L10" s="374"/>
      <c r="M10" s="34" t="s">
        <v>56</v>
      </c>
      <c r="N10" s="368"/>
      <c r="O10" s="35" t="s">
        <v>57</v>
      </c>
      <c r="P10" s="371"/>
      <c r="Q10" s="35" t="s">
        <v>58</v>
      </c>
      <c r="R10" s="371"/>
      <c r="S10" s="36" t="s">
        <v>6</v>
      </c>
      <c r="T10" s="36"/>
      <c r="U10" s="188" t="s">
        <v>16</v>
      </c>
    </row>
    <row r="11" spans="1:27" s="130" customFormat="1" ht="30.75">
      <c r="A11" s="189" t="s">
        <v>122</v>
      </c>
      <c r="C11" s="4">
        <f>IFERROR(VLOOKUP(A11,'درآمد سود سهام'!$A$8:$S$87,13,0),0)</f>
        <v>0</v>
      </c>
      <c r="D11" s="4"/>
      <c r="E11" s="4">
        <f>IFERROR(VLOOKUP(A11,'درآمد ناشی از تغییر قیمت  '!$A$7:$Q$83,9,0),0)</f>
        <v>0</v>
      </c>
      <c r="F11" s="4"/>
      <c r="G11" s="4">
        <f>IFERROR(VLOOKUP(A11,'درآمد ناشی ازفروش'!$A$7:$I$106,9,0),0)</f>
        <v>0</v>
      </c>
      <c r="H11" s="4"/>
      <c r="I11" s="4">
        <f>G11+E11+C11</f>
        <v>0</v>
      </c>
      <c r="J11" s="204"/>
      <c r="K11" s="116">
        <f>I11/5416563230</f>
        <v>0</v>
      </c>
      <c r="L11" s="204"/>
      <c r="M11" s="4">
        <f>IFERROR(VLOOKUP(A11,'درآمد سود سهام'!$A$8:$S$87,19,0),0)</f>
        <v>0</v>
      </c>
      <c r="N11" s="4"/>
      <c r="O11" s="4">
        <f>IFERROR(VLOOKUP(A11,'درآمد ناشی از تغییر قیمت  '!$A$7:$Q$83,17,0),0)</f>
        <v>0</v>
      </c>
      <c r="P11" s="4"/>
      <c r="Q11" s="4">
        <f>IFERROR(VLOOKUP(A11,'درآمد ناشی ازفروش'!$A$7:$Q$106,17,0),0)</f>
        <v>1394126082</v>
      </c>
      <c r="R11" s="4"/>
      <c r="S11" s="4">
        <f>Q11+O11+M11</f>
        <v>1394126082</v>
      </c>
      <c r="T11" s="135"/>
      <c r="U11" s="116">
        <f>S11/درآمدها!$J$5</f>
        <v>5.1770080925623164E-2</v>
      </c>
      <c r="V11" s="136"/>
      <c r="W11" s="136"/>
      <c r="X11" s="136"/>
      <c r="Y11" s="136"/>
      <c r="Z11" s="136"/>
      <c r="AA11" s="136"/>
    </row>
    <row r="12" spans="1:27" s="130" customFormat="1" ht="30.75">
      <c r="A12" s="189" t="s">
        <v>145</v>
      </c>
      <c r="C12" s="4">
        <f>IFERROR(VLOOKUP(A12,'درآمد سود سهام'!$A$8:$S$87,13,0),0)</f>
        <v>0</v>
      </c>
      <c r="D12" s="4"/>
      <c r="E12" s="4">
        <f>IFERROR(VLOOKUP(A12,'درآمد ناشی از تغییر قیمت  '!$A$7:$Q$83,9,0),0)</f>
        <v>-129644161</v>
      </c>
      <c r="F12" s="4"/>
      <c r="G12" s="4">
        <f>IFERROR(VLOOKUP(A12,'درآمد ناشی ازفروش'!$A$7:$I$106,9,0),0)</f>
        <v>0</v>
      </c>
      <c r="H12" s="4"/>
      <c r="I12" s="4">
        <f t="shared" ref="I12" si="0">G12+E12+C12</f>
        <v>-129644161</v>
      </c>
      <c r="J12" s="204"/>
      <c r="K12" s="116">
        <f t="shared" ref="K12:K55" si="1">I12/5416563230</f>
        <v>-2.3934763704401545E-2</v>
      </c>
      <c r="L12" s="204"/>
      <c r="M12" s="4">
        <f>IFERROR(VLOOKUP(A12,'درآمد سود سهام'!$A$8:$S$87,19,0),0)</f>
        <v>0</v>
      </c>
      <c r="N12" s="4"/>
      <c r="O12" s="4">
        <f>IFERROR(VLOOKUP(A12,'درآمد ناشی از تغییر قیمت  '!$A$7:$Q$83,17,0),0)</f>
        <v>-129644161</v>
      </c>
      <c r="P12" s="4"/>
      <c r="Q12" s="4">
        <f>IFERROR(VLOOKUP(A12,'درآمد ناشی ازفروش'!$A$7:$Q$106,17,0),0)</f>
        <v>0</v>
      </c>
      <c r="R12" s="4"/>
      <c r="S12" s="4">
        <f t="shared" ref="S12" si="2">Q12+O12+M12</f>
        <v>-129644161</v>
      </c>
      <c r="T12" s="135"/>
      <c r="U12" s="116">
        <f>S12/درآمدها!$J$5</f>
        <v>-4.8142623491241147E-3</v>
      </c>
      <c r="V12" s="136"/>
      <c r="W12" s="136"/>
      <c r="X12" s="136"/>
      <c r="Y12" s="136"/>
      <c r="Z12" s="136"/>
      <c r="AA12" s="136"/>
    </row>
    <row r="13" spans="1:27" s="130" customFormat="1" ht="30.75">
      <c r="A13" s="189" t="s">
        <v>146</v>
      </c>
      <c r="C13" s="4">
        <f>IFERROR(VLOOKUP(A13,'درآمد سود سهام'!$A$8:$S$87,13,0),0)</f>
        <v>0</v>
      </c>
      <c r="D13" s="4"/>
      <c r="E13" s="4">
        <f>IFERROR(VLOOKUP(A13,'درآمد ناشی از تغییر قیمت  '!$A$7:$Q$83,9,0),0)</f>
        <v>1744201436</v>
      </c>
      <c r="F13" s="4"/>
      <c r="G13" s="4">
        <f>IFERROR(VLOOKUP(A13,'درآمد ناشی ازفروش'!$A$7:$I$106,9,0),0)</f>
        <v>0</v>
      </c>
      <c r="H13" s="4"/>
      <c r="I13" s="4">
        <f t="shared" ref="I13:I14" si="3">G13+E13+C13</f>
        <v>1744201436</v>
      </c>
      <c r="J13" s="204"/>
      <c r="K13" s="116">
        <f t="shared" si="1"/>
        <v>0.32201256810584672</v>
      </c>
      <c r="L13" s="204"/>
      <c r="M13" s="4">
        <f>IFERROR(VLOOKUP(A13,'درآمد سود سهام'!$A$8:$S$87,19,0),0)</f>
        <v>0</v>
      </c>
      <c r="N13" s="4"/>
      <c r="O13" s="4">
        <f>IFERROR(VLOOKUP(A13,'درآمد ناشی از تغییر قیمت  '!$A$7:$Q$83,17,0),0)</f>
        <v>1744201436</v>
      </c>
      <c r="P13" s="4"/>
      <c r="Q13" s="4">
        <f>IFERROR(VLOOKUP(A13,'درآمد ناشی ازفروش'!$A$7:$Q$106,17,0),0)</f>
        <v>0</v>
      </c>
      <c r="R13" s="4"/>
      <c r="S13" s="4">
        <f t="shared" ref="S13:S14" si="4">Q13+O13+M13</f>
        <v>1744201436</v>
      </c>
      <c r="T13" s="135"/>
      <c r="U13" s="116">
        <f>S13/درآمدها!$J$5</f>
        <v>6.4769930537967035E-2</v>
      </c>
      <c r="V13" s="136"/>
      <c r="W13" s="136"/>
      <c r="X13" s="136"/>
      <c r="Y13" s="136"/>
      <c r="Z13" s="136"/>
      <c r="AA13" s="136"/>
    </row>
    <row r="14" spans="1:27" s="130" customFormat="1" ht="30.75">
      <c r="A14" s="189" t="s">
        <v>127</v>
      </c>
      <c r="C14" s="4">
        <f>IFERROR(VLOOKUP(A14,'درآمد سود سهام'!$A$8:$S$87,13,0),0)</f>
        <v>0</v>
      </c>
      <c r="D14" s="4"/>
      <c r="E14" s="4">
        <f>IFERROR(VLOOKUP(A14,'درآمد ناشی از تغییر قیمت  '!$A$7:$Q$83,9,0),0)</f>
        <v>0</v>
      </c>
      <c r="F14" s="4"/>
      <c r="G14" s="4">
        <f>IFERROR(VLOOKUP(A14,'درآمد ناشی ازفروش'!$A$7:$I$106,9,0),0)</f>
        <v>0</v>
      </c>
      <c r="H14" s="4"/>
      <c r="I14" s="4">
        <f t="shared" si="3"/>
        <v>0</v>
      </c>
      <c r="J14" s="204"/>
      <c r="K14" s="116">
        <f t="shared" si="1"/>
        <v>0</v>
      </c>
      <c r="L14" s="204"/>
      <c r="M14" s="4">
        <f>IFERROR(VLOOKUP(A14,'درآمد سود سهام'!$A$8:$S$87,19,0),0)</f>
        <v>0</v>
      </c>
      <c r="N14" s="4"/>
      <c r="O14" s="4">
        <f>IFERROR(VLOOKUP(A14,'درآمد ناشی از تغییر قیمت  '!$A$7:$Q$83,17,0),0)</f>
        <v>0</v>
      </c>
      <c r="P14" s="4"/>
      <c r="Q14" s="4">
        <f>IFERROR(VLOOKUP(A14,'درآمد ناشی ازفروش'!$A$7:$Q$106,17,0),0)</f>
        <v>389108852</v>
      </c>
      <c r="R14" s="4"/>
      <c r="S14" s="4">
        <f t="shared" si="4"/>
        <v>389108852</v>
      </c>
      <c r="T14" s="135"/>
      <c r="U14" s="116">
        <f>S14/درآمدها!$J$5</f>
        <v>1.4449336410102631E-2</v>
      </c>
      <c r="V14" s="136"/>
      <c r="W14" s="136"/>
      <c r="X14" s="136"/>
      <c r="Y14" s="136"/>
      <c r="Z14" s="136"/>
      <c r="AA14" s="136"/>
    </row>
    <row r="15" spans="1:27" s="130" customFormat="1" ht="30.75">
      <c r="A15" s="189" t="s">
        <v>133</v>
      </c>
      <c r="C15" s="4">
        <f>IFERROR(VLOOKUP(A15,'درآمد سود سهام'!$A$8:$S$87,13,0),0)</f>
        <v>0</v>
      </c>
      <c r="D15" s="4"/>
      <c r="E15" s="4">
        <f>IFERROR(VLOOKUP(A15,'درآمد ناشی از تغییر قیمت  '!$A$7:$Q$83,9,0),0)</f>
        <v>0</v>
      </c>
      <c r="F15" s="4"/>
      <c r="G15" s="4">
        <f>IFERROR(VLOOKUP(A15,'درآمد ناشی ازفروش'!$A$7:$I$106,9,0),0)</f>
        <v>0</v>
      </c>
      <c r="H15" s="4"/>
      <c r="I15" s="4">
        <f t="shared" ref="I15:I55" si="5">G15+E15+C15</f>
        <v>0</v>
      </c>
      <c r="J15" s="204"/>
      <c r="K15" s="116">
        <f t="shared" si="1"/>
        <v>0</v>
      </c>
      <c r="L15" s="204"/>
      <c r="M15" s="4">
        <f>IFERROR(VLOOKUP(A15,'درآمد سود سهام'!$A$8:$S$87,19,0),0)</f>
        <v>323000000</v>
      </c>
      <c r="N15" s="4"/>
      <c r="O15" s="4">
        <f>IFERROR(VLOOKUP(A15,'درآمد ناشی از تغییر قیمت  '!$A$7:$Q$83,17,0),0)</f>
        <v>0</v>
      </c>
      <c r="P15" s="4"/>
      <c r="Q15" s="4">
        <f>IFERROR(VLOOKUP(A15,'درآمد ناشی ازفروش'!$A$7:$Q$106,17,0),0)</f>
        <v>-138971613</v>
      </c>
      <c r="R15" s="4"/>
      <c r="S15" s="4">
        <f t="shared" ref="S15:S38" si="6">Q15+O15+M15</f>
        <v>184028387</v>
      </c>
      <c r="T15" s="135"/>
      <c r="U15" s="116">
        <f>S15/درآمدها!$J$5</f>
        <v>6.8337897200332967E-3</v>
      </c>
      <c r="V15" s="136"/>
      <c r="W15" s="136"/>
      <c r="X15" s="136"/>
      <c r="Y15" s="136"/>
      <c r="Z15" s="136"/>
      <c r="AA15" s="136"/>
    </row>
    <row r="16" spans="1:27" s="130" customFormat="1" ht="30.75">
      <c r="A16" s="189" t="s">
        <v>106</v>
      </c>
      <c r="C16" s="4">
        <f>IFERROR(VLOOKUP(A16,'درآمد سود سهام'!$A$8:$S$87,13,0),0)</f>
        <v>0</v>
      </c>
      <c r="D16" s="4"/>
      <c r="E16" s="4">
        <f>IFERROR(VLOOKUP(A16,'درآمد ناشی از تغییر قیمت  '!$A$7:$Q$83,9,0),0)</f>
        <v>0</v>
      </c>
      <c r="F16" s="4"/>
      <c r="G16" s="4">
        <f>IFERROR(VLOOKUP(A16,'درآمد ناشی ازفروش'!$A$7:$I$106,9,0),0)</f>
        <v>0</v>
      </c>
      <c r="H16" s="4"/>
      <c r="I16" s="4">
        <f t="shared" si="5"/>
        <v>0</v>
      </c>
      <c r="J16" s="204"/>
      <c r="K16" s="116">
        <f t="shared" si="1"/>
        <v>0</v>
      </c>
      <c r="L16" s="204"/>
      <c r="M16" s="4">
        <f>IFERROR(VLOOKUP(A16,'درآمد سود سهام'!$A$8:$S$87,19,0),0)</f>
        <v>0</v>
      </c>
      <c r="N16" s="4"/>
      <c r="O16" s="4">
        <f>IFERROR(VLOOKUP(A16,'درآمد ناشی از تغییر قیمت  '!$A$7:$Q$83,17,0),0)</f>
        <v>0</v>
      </c>
      <c r="P16" s="4"/>
      <c r="Q16" s="4">
        <f>IFERROR(VLOOKUP(A16,'درآمد ناشی ازفروش'!$A$7:$Q$106,17,0),0)</f>
        <v>12969451</v>
      </c>
      <c r="R16" s="4"/>
      <c r="S16" s="4">
        <f t="shared" si="6"/>
        <v>12969451</v>
      </c>
      <c r="T16" s="135"/>
      <c r="U16" s="116">
        <f>S16/درآمدها!$J$5</f>
        <v>4.8161320306673973E-4</v>
      </c>
      <c r="V16" s="136"/>
      <c r="W16" s="136"/>
      <c r="X16" s="136"/>
      <c r="Y16" s="136"/>
      <c r="Z16" s="136"/>
      <c r="AA16" s="136"/>
    </row>
    <row r="17" spans="1:27" s="130" customFormat="1" ht="30.75">
      <c r="A17" s="189" t="s">
        <v>92</v>
      </c>
      <c r="C17" s="4">
        <f>IFERROR(VLOOKUP(A17,'درآمد سود سهام'!$A$8:$S$87,13,0),0)</f>
        <v>0</v>
      </c>
      <c r="D17" s="4"/>
      <c r="E17" s="4">
        <f>IFERROR(VLOOKUP(A17,'درآمد ناشی از تغییر قیمت  '!$A$7:$Q$83,9,0),0)</f>
        <v>0</v>
      </c>
      <c r="F17" s="4"/>
      <c r="G17" s="4">
        <f>IFERROR(VLOOKUP(A17,'درآمد ناشی ازفروش'!$A$7:$I$106,9,0),0)</f>
        <v>0</v>
      </c>
      <c r="H17" s="4"/>
      <c r="I17" s="4">
        <f t="shared" si="5"/>
        <v>0</v>
      </c>
      <c r="J17" s="204"/>
      <c r="K17" s="116">
        <f t="shared" si="1"/>
        <v>0</v>
      </c>
      <c r="L17" s="204"/>
      <c r="M17" s="4">
        <f>IFERROR(VLOOKUP(A17,'درآمد سود سهام'!$A$8:$S$87,19,0),0)</f>
        <v>0</v>
      </c>
      <c r="N17" s="4"/>
      <c r="O17" s="4">
        <f>IFERROR(VLOOKUP(A17,'درآمد ناشی از تغییر قیمت  '!$A$7:$Q$83,17,0),0)</f>
        <v>0</v>
      </c>
      <c r="P17" s="4"/>
      <c r="Q17" s="4">
        <f>IFERROR(VLOOKUP(A17,'درآمد ناشی ازفروش'!$A$7:$Q$106,17,0),0)</f>
        <v>3058018</v>
      </c>
      <c r="R17" s="4"/>
      <c r="S17" s="4">
        <f t="shared" si="6"/>
        <v>3058018</v>
      </c>
      <c r="T17" s="135"/>
      <c r="U17" s="116">
        <f>S17/درآمدها!$J$5</f>
        <v>1.1355776308617422E-4</v>
      </c>
      <c r="V17" s="136"/>
      <c r="W17" s="136"/>
      <c r="X17" s="136"/>
      <c r="Y17" s="136"/>
      <c r="Z17" s="136"/>
      <c r="AA17" s="136"/>
    </row>
    <row r="18" spans="1:27" s="130" customFormat="1" ht="30.75">
      <c r="A18" s="189" t="s">
        <v>129</v>
      </c>
      <c r="C18" s="4">
        <f>IFERROR(VLOOKUP(A18,'درآمد سود سهام'!$A$8:$S$87,13,0),0)</f>
        <v>0</v>
      </c>
      <c r="D18" s="4"/>
      <c r="E18" s="4">
        <f>IFERROR(VLOOKUP(A18,'درآمد ناشی از تغییر قیمت  '!$A$7:$Q$83,9,0),0)</f>
        <v>0</v>
      </c>
      <c r="F18" s="4"/>
      <c r="G18" s="4">
        <f>IFERROR(VLOOKUP(A18,'درآمد ناشی ازفروش'!$A$7:$I$106,9,0),0)</f>
        <v>0</v>
      </c>
      <c r="H18" s="4"/>
      <c r="I18" s="4">
        <f t="shared" si="5"/>
        <v>0</v>
      </c>
      <c r="J18" s="204"/>
      <c r="K18" s="116">
        <f t="shared" si="1"/>
        <v>0</v>
      </c>
      <c r="L18" s="204"/>
      <c r="M18" s="4">
        <f>IFERROR(VLOOKUP(A18,'درآمد سود سهام'!$A$8:$S$87,19,0),0)</f>
        <v>0</v>
      </c>
      <c r="N18" s="4"/>
      <c r="O18" s="4">
        <f>IFERROR(VLOOKUP(A18,'درآمد ناشی از تغییر قیمت  '!$A$7:$Q$83,17,0),0)</f>
        <v>0</v>
      </c>
      <c r="P18" s="4"/>
      <c r="Q18" s="4">
        <f>IFERROR(VLOOKUP(A18,'درآمد ناشی ازفروش'!$A$7:$Q$106,17,0),0)</f>
        <v>117025331</v>
      </c>
      <c r="R18" s="4"/>
      <c r="S18" s="4">
        <f t="shared" si="6"/>
        <v>117025331</v>
      </c>
      <c r="T18" s="135"/>
      <c r="U18" s="116">
        <f>S18/درآمدها!$J$5</f>
        <v>4.3456692579242895E-3</v>
      </c>
      <c r="V18" s="136"/>
      <c r="W18" s="136"/>
      <c r="X18" s="136"/>
      <c r="Y18" s="136"/>
      <c r="Z18" s="136"/>
      <c r="AA18" s="136"/>
    </row>
    <row r="19" spans="1:27" s="130" customFormat="1" ht="30.75">
      <c r="A19" s="189" t="s">
        <v>126</v>
      </c>
      <c r="C19" s="4">
        <f>IFERROR(VLOOKUP(A19,'درآمد سود سهام'!$A$8:$S$87,13,0),0)</f>
        <v>0</v>
      </c>
      <c r="D19" s="4"/>
      <c r="E19" s="4">
        <f>IFERROR(VLOOKUP(A19,'درآمد ناشی از تغییر قیمت  '!$A$7:$Q$83,9,0),0)</f>
        <v>0</v>
      </c>
      <c r="F19" s="4"/>
      <c r="G19" s="4">
        <f>IFERROR(VLOOKUP(A19,'درآمد ناشی ازفروش'!$A$7:$I$106,9,0),0)</f>
        <v>0</v>
      </c>
      <c r="H19" s="4"/>
      <c r="I19" s="4">
        <f t="shared" si="5"/>
        <v>0</v>
      </c>
      <c r="J19" s="204"/>
      <c r="K19" s="116">
        <f t="shared" si="1"/>
        <v>0</v>
      </c>
      <c r="L19" s="204"/>
      <c r="M19" s="4">
        <f>IFERROR(VLOOKUP(A19,'درآمد سود سهام'!$A$8:$S$87,19,0),0)</f>
        <v>0</v>
      </c>
      <c r="N19" s="4"/>
      <c r="O19" s="4">
        <f>IFERROR(VLOOKUP(A19,'درآمد ناشی از تغییر قیمت  '!$A$7:$Q$83,17,0),0)</f>
        <v>0</v>
      </c>
      <c r="P19" s="4"/>
      <c r="Q19" s="4">
        <f>IFERROR(VLOOKUP(A19,'درآمد ناشی ازفروش'!$A$7:$Q$106,17,0),0)</f>
        <v>115797849</v>
      </c>
      <c r="R19" s="4"/>
      <c r="S19" s="4">
        <f t="shared" si="6"/>
        <v>115797849</v>
      </c>
      <c r="T19" s="135"/>
      <c r="U19" s="116">
        <f>S19/درآمدها!$J$5</f>
        <v>4.3000874104176549E-3</v>
      </c>
      <c r="V19" s="136"/>
      <c r="W19" s="136"/>
      <c r="X19" s="136"/>
      <c r="Y19" s="136"/>
      <c r="Z19" s="136"/>
      <c r="AA19" s="136"/>
    </row>
    <row r="20" spans="1:27" s="130" customFormat="1" ht="30.75">
      <c r="A20" s="189" t="s">
        <v>125</v>
      </c>
      <c r="C20" s="4">
        <f>IFERROR(VLOOKUP(A20,'درآمد سود سهام'!$A$8:$S$87,13,0),0)</f>
        <v>0</v>
      </c>
      <c r="D20" s="4"/>
      <c r="E20" s="4">
        <f>IFERROR(VLOOKUP(A20,'درآمد ناشی از تغییر قیمت  '!$A$7:$Q$83,9,0),0)</f>
        <v>0</v>
      </c>
      <c r="F20" s="4"/>
      <c r="G20" s="4">
        <f>IFERROR(VLOOKUP(A20,'درآمد ناشی ازفروش'!$A$7:$I$106,9,0),0)</f>
        <v>0</v>
      </c>
      <c r="H20" s="4"/>
      <c r="I20" s="4">
        <f t="shared" si="5"/>
        <v>0</v>
      </c>
      <c r="J20" s="204"/>
      <c r="K20" s="116">
        <f t="shared" si="1"/>
        <v>0</v>
      </c>
      <c r="L20" s="204"/>
      <c r="M20" s="4">
        <f>IFERROR(VLOOKUP(A20,'درآمد سود سهام'!$A$8:$S$87,19,0),0)</f>
        <v>0</v>
      </c>
      <c r="N20" s="4"/>
      <c r="O20" s="4">
        <f>IFERROR(VLOOKUP(A20,'درآمد ناشی از تغییر قیمت  '!$A$7:$Q$83,17,0),0)</f>
        <v>0</v>
      </c>
      <c r="P20" s="4"/>
      <c r="Q20" s="4">
        <f>IFERROR(VLOOKUP(A20,'درآمد ناشی ازفروش'!$A$7:$Q$106,17,0),0)</f>
        <v>11194211</v>
      </c>
      <c r="R20" s="4"/>
      <c r="S20" s="4">
        <f t="shared" si="6"/>
        <v>11194211</v>
      </c>
      <c r="T20" s="135"/>
      <c r="U20" s="116">
        <f>S20/درآمدها!$J$5</f>
        <v>4.156906730681917E-4</v>
      </c>
      <c r="V20" s="136"/>
      <c r="W20" s="136"/>
      <c r="X20" s="136"/>
      <c r="Y20" s="136"/>
      <c r="Z20" s="136"/>
      <c r="AA20" s="136"/>
    </row>
    <row r="21" spans="1:27" s="130" customFormat="1" ht="30.75">
      <c r="A21" s="189" t="s">
        <v>95</v>
      </c>
      <c r="C21" s="4">
        <f>IFERROR(VLOOKUP(A21,'درآمد سود سهام'!$A$8:$S$87,13,0),0)</f>
        <v>0</v>
      </c>
      <c r="D21" s="4"/>
      <c r="E21" s="4">
        <f>IFERROR(VLOOKUP(A21,'درآمد ناشی از تغییر قیمت  '!$A$7:$Q$83,9,0),0)</f>
        <v>0</v>
      </c>
      <c r="F21" s="4"/>
      <c r="G21" s="4">
        <f>IFERROR(VLOOKUP(A21,'درآمد ناشی ازفروش'!$A$7:$I$106,9,0),0)</f>
        <v>-25149466</v>
      </c>
      <c r="H21" s="4"/>
      <c r="I21" s="4">
        <f t="shared" si="5"/>
        <v>-25149466</v>
      </c>
      <c r="J21" s="204"/>
      <c r="K21" s="116">
        <f t="shared" si="1"/>
        <v>-4.6430670024690179E-3</v>
      </c>
      <c r="L21" s="204"/>
      <c r="M21" s="4">
        <f>IFERROR(VLOOKUP(A21,'درآمد سود سهام'!$A$8:$S$87,19,0),0)</f>
        <v>109595300</v>
      </c>
      <c r="N21" s="4"/>
      <c r="O21" s="4">
        <f>IFERROR(VLOOKUP(A21,'درآمد ناشی از تغییر قیمت  '!$A$7:$Q$83,17,0),0)</f>
        <v>0</v>
      </c>
      <c r="P21" s="4"/>
      <c r="Q21" s="4">
        <f>IFERROR(VLOOKUP(A21,'درآمد ناشی ازفروش'!$A$7:$Q$106,17,0),0)</f>
        <v>321354496</v>
      </c>
      <c r="R21" s="4"/>
      <c r="S21" s="4">
        <f t="shared" si="6"/>
        <v>430949796</v>
      </c>
      <c r="T21" s="135"/>
      <c r="U21" s="116">
        <f>S21/درآمدها!$J$5</f>
        <v>1.600307612192051E-2</v>
      </c>
      <c r="V21" s="136"/>
      <c r="W21" s="136"/>
      <c r="X21" s="136"/>
      <c r="Y21" s="136"/>
      <c r="Z21" s="136"/>
      <c r="AA21" s="136"/>
    </row>
    <row r="22" spans="1:27" s="130" customFormat="1" ht="30.75">
      <c r="A22" s="189" t="s">
        <v>86</v>
      </c>
      <c r="C22" s="4">
        <f>IFERROR(VLOOKUP(A22,'درآمد سود سهام'!$A$8:$S$87,13,0),0)</f>
        <v>0</v>
      </c>
      <c r="D22" s="4"/>
      <c r="E22" s="4">
        <f>IFERROR(VLOOKUP(A22,'درآمد ناشی از تغییر قیمت  '!$A$7:$Q$83,9,0),0)</f>
        <v>0</v>
      </c>
      <c r="F22" s="4"/>
      <c r="G22" s="4">
        <f>IFERROR(VLOOKUP(A22,'درآمد ناشی ازفروش'!$A$7:$I$106,9,0),0)</f>
        <v>0</v>
      </c>
      <c r="H22" s="4"/>
      <c r="I22" s="4">
        <f t="shared" si="5"/>
        <v>0</v>
      </c>
      <c r="J22" s="204"/>
      <c r="K22" s="116">
        <f t="shared" si="1"/>
        <v>0</v>
      </c>
      <c r="L22" s="204"/>
      <c r="M22" s="4">
        <f>IFERROR(VLOOKUP(A22,'درآمد سود سهام'!$A$8:$S$87,19,0),0)</f>
        <v>0</v>
      </c>
      <c r="N22" s="4"/>
      <c r="O22" s="4">
        <f>IFERROR(VLOOKUP(A22,'درآمد ناشی از تغییر قیمت  '!$A$7:$Q$83,17,0),0)</f>
        <v>0</v>
      </c>
      <c r="P22" s="4"/>
      <c r="Q22" s="4">
        <f>IFERROR(VLOOKUP(A22,'درآمد ناشی ازفروش'!$A$7:$Q$106,17,0),0)</f>
        <v>1643542173</v>
      </c>
      <c r="R22" s="4"/>
      <c r="S22" s="4">
        <f t="shared" si="6"/>
        <v>1643542173</v>
      </c>
      <c r="T22" s="135"/>
      <c r="U22" s="116">
        <f>S22/درآمدها!$J$5</f>
        <v>6.1032005927914731E-2</v>
      </c>
      <c r="V22" s="136"/>
      <c r="W22" s="136"/>
      <c r="X22" s="136"/>
      <c r="Y22" s="136"/>
      <c r="Z22" s="136"/>
      <c r="AA22" s="136"/>
    </row>
    <row r="23" spans="1:27" s="130" customFormat="1" ht="30.75">
      <c r="A23" s="189" t="s">
        <v>87</v>
      </c>
      <c r="C23" s="4">
        <f>IFERROR(VLOOKUP(A23,'درآمد سود سهام'!$A$8:$S$87,13,0),0)</f>
        <v>0</v>
      </c>
      <c r="D23" s="4"/>
      <c r="E23" s="4">
        <f>IFERROR(VLOOKUP(A23,'درآمد ناشی از تغییر قیمت  '!$A$7:$Q$83,9,0),0)</f>
        <v>0</v>
      </c>
      <c r="F23" s="4"/>
      <c r="G23" s="4">
        <f>IFERROR(VLOOKUP(A23,'درآمد ناشی ازفروش'!$A$7:$I$106,9,0),0)</f>
        <v>0</v>
      </c>
      <c r="H23" s="4"/>
      <c r="I23" s="4">
        <f t="shared" si="5"/>
        <v>0</v>
      </c>
      <c r="J23" s="204"/>
      <c r="K23" s="116">
        <f t="shared" si="1"/>
        <v>0</v>
      </c>
      <c r="L23" s="204"/>
      <c r="M23" s="4">
        <f>IFERROR(VLOOKUP(A23,'درآمد سود سهام'!$A$8:$S$87,19,0),0)</f>
        <v>0</v>
      </c>
      <c r="N23" s="4"/>
      <c r="O23" s="4">
        <f>IFERROR(VLOOKUP(A23,'درآمد ناشی از تغییر قیمت  '!$A$7:$Q$83,17,0),0)</f>
        <v>932848329</v>
      </c>
      <c r="P23" s="4"/>
      <c r="Q23" s="4">
        <f>IFERROR(VLOOKUP(A23,'درآمد ناشی ازفروش'!$A$7:$Q$106,17,0),0)</f>
        <v>0</v>
      </c>
      <c r="R23" s="4"/>
      <c r="S23" s="4">
        <f t="shared" si="6"/>
        <v>932848329</v>
      </c>
      <c r="T23" s="135"/>
      <c r="U23" s="116">
        <f>S23/درآمدها!$J$5</f>
        <v>3.4640793330816072E-2</v>
      </c>
      <c r="V23" s="136"/>
      <c r="W23" s="136"/>
      <c r="X23" s="136"/>
      <c r="Y23" s="136"/>
      <c r="Z23" s="136"/>
      <c r="AA23" s="136"/>
    </row>
    <row r="24" spans="1:27" s="130" customFormat="1" ht="30.75">
      <c r="A24" s="189" t="s">
        <v>93</v>
      </c>
      <c r="C24" s="4">
        <f>IFERROR(VLOOKUP(A24,'درآمد سود سهام'!$A$8:$S$87,13,0),0)</f>
        <v>0</v>
      </c>
      <c r="D24" s="4"/>
      <c r="E24" s="4">
        <f>IFERROR(VLOOKUP(A24,'درآمد ناشی از تغییر قیمت  '!$A$7:$Q$83,9,0),0)</f>
        <v>0</v>
      </c>
      <c r="F24" s="4"/>
      <c r="G24" s="4">
        <f>IFERROR(VLOOKUP(A24,'درآمد ناشی ازفروش'!$A$7:$I$106,9,0),0)</f>
        <v>-63146393</v>
      </c>
      <c r="H24" s="4"/>
      <c r="I24" s="4">
        <f t="shared" si="5"/>
        <v>-63146393</v>
      </c>
      <c r="J24" s="204"/>
      <c r="K24" s="116">
        <f t="shared" si="1"/>
        <v>-1.1658018252285776E-2</v>
      </c>
      <c r="L24" s="204"/>
      <c r="M24" s="4">
        <f>IFERROR(VLOOKUP(A24,'درآمد سود سهام'!$A$8:$S$87,19,0),0)</f>
        <v>0</v>
      </c>
      <c r="N24" s="4"/>
      <c r="O24" s="4">
        <f>IFERROR(VLOOKUP(A24,'درآمد ناشی از تغییر قیمت  '!$A$7:$Q$83,17,0),0)</f>
        <v>0</v>
      </c>
      <c r="P24" s="4"/>
      <c r="Q24" s="4">
        <f>IFERROR(VLOOKUP(A24,'درآمد ناشی ازفروش'!$A$7:$Q$106,17,0),0)</f>
        <v>580983494</v>
      </c>
      <c r="R24" s="4"/>
      <c r="S24" s="4">
        <f t="shared" si="6"/>
        <v>580983494</v>
      </c>
      <c r="T24" s="135"/>
      <c r="U24" s="116">
        <f>S24/درآمدها!$J$5</f>
        <v>2.1574492357020043E-2</v>
      </c>
      <c r="V24" s="136"/>
      <c r="W24" s="136"/>
      <c r="X24" s="136"/>
      <c r="Y24" s="136"/>
      <c r="Z24" s="136"/>
      <c r="AA24" s="136"/>
    </row>
    <row r="25" spans="1:27" s="130" customFormat="1" ht="30.75">
      <c r="A25" s="189" t="s">
        <v>88</v>
      </c>
      <c r="C25" s="4">
        <f>IFERROR(VLOOKUP(A25,'درآمد سود سهام'!$A$8:$S$87,13,0),0)</f>
        <v>0</v>
      </c>
      <c r="D25" s="4"/>
      <c r="E25" s="4">
        <f>IFERROR(VLOOKUP(A25,'درآمد ناشی از تغییر قیمت  '!$A$7:$Q$83,9,0),0)</f>
        <v>0</v>
      </c>
      <c r="F25" s="4"/>
      <c r="G25" s="4">
        <f>IFERROR(VLOOKUP(A25,'درآمد ناشی ازفروش'!$A$7:$I$106,9,0),0)</f>
        <v>0</v>
      </c>
      <c r="H25" s="4"/>
      <c r="I25" s="4">
        <f t="shared" si="5"/>
        <v>0</v>
      </c>
      <c r="J25" s="204"/>
      <c r="K25" s="116">
        <f t="shared" si="1"/>
        <v>0</v>
      </c>
      <c r="L25" s="204"/>
      <c r="M25" s="4">
        <f>IFERROR(VLOOKUP(A25,'درآمد سود سهام'!$A$8:$S$87,19,0),0)</f>
        <v>0</v>
      </c>
      <c r="N25" s="4"/>
      <c r="O25" s="4">
        <f>IFERROR(VLOOKUP(A25,'درآمد ناشی از تغییر قیمت  '!$A$7:$Q$83,17,0),0)</f>
        <v>0</v>
      </c>
      <c r="P25" s="4"/>
      <c r="Q25" s="4">
        <f>IFERROR(VLOOKUP(A25,'درآمد ناشی ازفروش'!$A$7:$Q$106,17,0),0)</f>
        <v>414028398</v>
      </c>
      <c r="R25" s="4"/>
      <c r="S25" s="4">
        <f t="shared" si="6"/>
        <v>414028398</v>
      </c>
      <c r="T25" s="135"/>
      <c r="U25" s="116">
        <f>S25/درآمدها!$J$5</f>
        <v>1.5374709609633511E-2</v>
      </c>
      <c r="V25" s="136"/>
      <c r="W25" s="136"/>
      <c r="X25" s="136"/>
      <c r="Y25" s="136"/>
      <c r="Z25" s="136"/>
      <c r="AA25" s="136"/>
    </row>
    <row r="26" spans="1:27" s="130" customFormat="1" ht="30.75">
      <c r="A26" s="189" t="s">
        <v>85</v>
      </c>
      <c r="C26" s="4">
        <f>IFERROR(VLOOKUP(A26,'درآمد سود سهام'!$A$8:$S$87,13,0),0)</f>
        <v>0</v>
      </c>
      <c r="D26" s="4"/>
      <c r="E26" s="4">
        <f>IFERROR(VLOOKUP(A26,'درآمد ناشی از تغییر قیمت  '!$A$7:$Q$83,9,0),0)</f>
        <v>0</v>
      </c>
      <c r="F26" s="4"/>
      <c r="G26" s="4">
        <f>IFERROR(VLOOKUP(A26,'درآمد ناشی ازفروش'!$A$7:$I$106,9,0),0)</f>
        <v>0</v>
      </c>
      <c r="H26" s="4"/>
      <c r="I26" s="4">
        <f t="shared" si="5"/>
        <v>0</v>
      </c>
      <c r="J26" s="204"/>
      <c r="K26" s="116">
        <f t="shared" si="1"/>
        <v>0</v>
      </c>
      <c r="L26" s="204"/>
      <c r="M26" s="4">
        <f>IFERROR(VLOOKUP(A26,'درآمد سود سهام'!$A$8:$S$87,19,0),0)</f>
        <v>0</v>
      </c>
      <c r="N26" s="4"/>
      <c r="O26" s="4">
        <f>IFERROR(VLOOKUP(A26,'درآمد ناشی از تغییر قیمت  '!$A$7:$Q$83,17,0),0)</f>
        <v>0</v>
      </c>
      <c r="P26" s="4"/>
      <c r="Q26" s="4">
        <f>IFERROR(VLOOKUP(A26,'درآمد ناشی ازفروش'!$A$7:$Q$106,17,0),0)</f>
        <v>2078907937</v>
      </c>
      <c r="R26" s="4"/>
      <c r="S26" s="4">
        <f t="shared" si="6"/>
        <v>2078907937</v>
      </c>
      <c r="T26" s="135"/>
      <c r="U26" s="116">
        <f>S26/درآمدها!$J$5</f>
        <v>7.719906651557093E-2</v>
      </c>
      <c r="V26" s="136"/>
      <c r="W26" s="136"/>
      <c r="X26" s="136"/>
      <c r="Y26" s="136"/>
      <c r="Z26" s="136"/>
      <c r="AA26" s="136"/>
    </row>
    <row r="27" spans="1:27" s="130" customFormat="1" ht="30.75">
      <c r="A27" s="189" t="s">
        <v>142</v>
      </c>
      <c r="C27" s="4">
        <f>IFERROR(VLOOKUP(A27,'درآمد سود سهام'!$A$8:$S$87,13,0),0)</f>
        <v>0</v>
      </c>
      <c r="D27" s="4"/>
      <c r="E27" s="4">
        <f>IFERROR(VLOOKUP(A27,'درآمد ناشی از تغییر قیمت  '!$A$7:$Q$83,9,0),0)</f>
        <v>980202590</v>
      </c>
      <c r="F27" s="4"/>
      <c r="G27" s="4">
        <f>IFERROR(VLOOKUP(A27,'درآمد ناشی ازفروش'!$A$7:$I$106,9,0),0)</f>
        <v>-897223091</v>
      </c>
      <c r="H27" s="4"/>
      <c r="I27" s="4">
        <f t="shared" si="5"/>
        <v>82979499</v>
      </c>
      <c r="J27" s="204"/>
      <c r="K27" s="116">
        <f t="shared" si="1"/>
        <v>1.5319584665865702E-2</v>
      </c>
      <c r="L27" s="204"/>
      <c r="M27" s="4">
        <f>IFERROR(VLOOKUP(A27,'درآمد سود سهام'!$A$8:$S$87,19,0),0)</f>
        <v>0</v>
      </c>
      <c r="N27" s="4"/>
      <c r="O27" s="4">
        <f>IFERROR(VLOOKUP(A27,'درآمد ناشی از تغییر قیمت  '!$A$7:$Q$83,17,0),0)</f>
        <v>-520019969</v>
      </c>
      <c r="P27" s="4"/>
      <c r="Q27" s="4">
        <f>IFERROR(VLOOKUP(A27,'درآمد ناشی ازفروش'!$A$7:$Q$106,17,0),0)</f>
        <v>-897223091</v>
      </c>
      <c r="R27" s="4"/>
      <c r="S27" s="4">
        <f t="shared" si="6"/>
        <v>-1417243060</v>
      </c>
      <c r="T27" s="135"/>
      <c r="U27" s="116">
        <f>S27/درآمدها!$J$5</f>
        <v>-5.2628516785383404E-2</v>
      </c>
      <c r="V27" s="136"/>
      <c r="W27" s="136"/>
      <c r="X27" s="136"/>
      <c r="Y27" s="136"/>
      <c r="Z27" s="136"/>
      <c r="AA27" s="136"/>
    </row>
    <row r="28" spans="1:27" s="130" customFormat="1" ht="30.75">
      <c r="A28" s="189" t="s">
        <v>84</v>
      </c>
      <c r="C28" s="4">
        <f>IFERROR(VLOOKUP(A28,'درآمد سود سهام'!$A$8:$S$87,13,0),0)</f>
        <v>0</v>
      </c>
      <c r="D28" s="4"/>
      <c r="E28" s="4">
        <f>IFERROR(VLOOKUP(A28,'درآمد ناشی از تغییر قیمت  '!$A$7:$Q$83,9,0),0)</f>
        <v>0</v>
      </c>
      <c r="F28" s="4"/>
      <c r="G28" s="4">
        <f>IFERROR(VLOOKUP(A28,'درآمد ناشی ازفروش'!$A$7:$I$106,9,0),0)</f>
        <v>0</v>
      </c>
      <c r="H28" s="4"/>
      <c r="I28" s="4">
        <f t="shared" si="5"/>
        <v>0</v>
      </c>
      <c r="J28" s="204"/>
      <c r="K28" s="116">
        <f t="shared" si="1"/>
        <v>0</v>
      </c>
      <c r="L28" s="204"/>
      <c r="M28" s="4">
        <f>IFERROR(VLOOKUP(A28,'درآمد سود سهام'!$A$8:$S$87,19,0),0)</f>
        <v>0</v>
      </c>
      <c r="N28" s="4"/>
      <c r="O28" s="4">
        <f>IFERROR(VLOOKUP(A28,'درآمد ناشی از تغییر قیمت  '!$A$7:$Q$83,17,0),0)</f>
        <v>0</v>
      </c>
      <c r="P28" s="4"/>
      <c r="Q28" s="4">
        <f>IFERROR(VLOOKUP(A28,'درآمد ناشی ازفروش'!$A$7:$Q$106,17,0),0)</f>
        <v>766078628</v>
      </c>
      <c r="R28" s="4"/>
      <c r="S28" s="4">
        <f t="shared" si="6"/>
        <v>766078628</v>
      </c>
      <c r="T28" s="135"/>
      <c r="U28" s="116">
        <f>S28/درآمدها!$J$5</f>
        <v>2.8447895121547811E-2</v>
      </c>
      <c r="V28" s="136"/>
      <c r="W28" s="136"/>
      <c r="X28" s="136"/>
      <c r="Y28" s="136"/>
      <c r="Z28" s="136"/>
      <c r="AA28" s="136"/>
    </row>
    <row r="29" spans="1:27" s="130" customFormat="1" ht="30.75">
      <c r="A29" s="189" t="s">
        <v>105</v>
      </c>
      <c r="C29" s="4">
        <f>IFERROR(VLOOKUP(A29,'درآمد سود سهام'!$A$8:$S$87,13,0),0)</f>
        <v>0</v>
      </c>
      <c r="D29" s="4"/>
      <c r="E29" s="4">
        <f>IFERROR(VLOOKUP(A29,'درآمد ناشی از تغییر قیمت  '!$A$7:$Q$83,9,0),0)</f>
        <v>0</v>
      </c>
      <c r="F29" s="4"/>
      <c r="G29" s="4">
        <f>IFERROR(VLOOKUP(A29,'درآمد ناشی ازفروش'!$A$7:$I$106,9,0),0)</f>
        <v>0</v>
      </c>
      <c r="H29" s="4"/>
      <c r="I29" s="4">
        <f t="shared" si="5"/>
        <v>0</v>
      </c>
      <c r="J29" s="204"/>
      <c r="K29" s="116">
        <f t="shared" si="1"/>
        <v>0</v>
      </c>
      <c r="L29" s="204"/>
      <c r="M29" s="4">
        <f>IFERROR(VLOOKUP(A29,'درآمد سود سهام'!$A$8:$S$87,19,0),0)</f>
        <v>0</v>
      </c>
      <c r="N29" s="4"/>
      <c r="O29" s="4">
        <f>IFERROR(VLOOKUP(A29,'درآمد ناشی از تغییر قیمت  '!$A$7:$Q$83,17,0),0)</f>
        <v>0</v>
      </c>
      <c r="P29" s="4"/>
      <c r="Q29" s="4">
        <f>IFERROR(VLOOKUP(A29,'درآمد ناشی ازفروش'!$A$7:$Q$106,17,0),0)</f>
        <v>889633060</v>
      </c>
      <c r="R29" s="4"/>
      <c r="S29" s="4">
        <f t="shared" si="6"/>
        <v>889633060</v>
      </c>
      <c r="T29" s="135"/>
      <c r="U29" s="116">
        <f>S29/درآمدها!$J$5</f>
        <v>3.3036018840016057E-2</v>
      </c>
      <c r="V29" s="136"/>
      <c r="W29" s="136"/>
      <c r="X29" s="136"/>
      <c r="Y29" s="136"/>
      <c r="Z29" s="136"/>
      <c r="AA29" s="136"/>
    </row>
    <row r="30" spans="1:27" s="130" customFormat="1" ht="30.75">
      <c r="A30" s="189" t="s">
        <v>89</v>
      </c>
      <c r="C30" s="4">
        <f>IFERROR(VLOOKUP(A30,'درآمد سود سهام'!$A$8:$S$87,13,0),0)</f>
        <v>0</v>
      </c>
      <c r="D30" s="4"/>
      <c r="E30" s="4">
        <f>IFERROR(VLOOKUP(A30,'درآمد ناشی از تغییر قیمت  '!$A$7:$Q$83,9,0),0)</f>
        <v>0</v>
      </c>
      <c r="F30" s="4"/>
      <c r="G30" s="4">
        <f>IFERROR(VLOOKUP(A30,'درآمد ناشی ازفروش'!$A$7:$I$106,9,0),0)</f>
        <v>-222621</v>
      </c>
      <c r="H30" s="4"/>
      <c r="I30" s="4">
        <f t="shared" si="5"/>
        <v>-222621</v>
      </c>
      <c r="J30" s="204"/>
      <c r="K30" s="116">
        <f t="shared" si="1"/>
        <v>-4.1100046384947305E-5</v>
      </c>
      <c r="L30" s="204"/>
      <c r="M30" s="4">
        <f>IFERROR(VLOOKUP(A30,'درآمد سود سهام'!$A$8:$S$87,19,0),0)</f>
        <v>0</v>
      </c>
      <c r="N30" s="4"/>
      <c r="O30" s="4">
        <f>IFERROR(VLOOKUP(A30,'درآمد ناشی از تغییر قیمت  '!$A$7:$Q$83,17,0),0)</f>
        <v>0</v>
      </c>
      <c r="P30" s="4"/>
      <c r="Q30" s="4">
        <f>IFERROR(VLOOKUP(A30,'درآمد ناشی ازفروش'!$A$7:$Q$106,17,0),0)</f>
        <v>388979616</v>
      </c>
      <c r="R30" s="4"/>
      <c r="S30" s="4">
        <f t="shared" si="6"/>
        <v>388979616</v>
      </c>
      <c r="T30" s="135"/>
      <c r="U30" s="116">
        <f>S30/درآمدها!$J$5</f>
        <v>1.4444537304580621E-2</v>
      </c>
      <c r="V30" s="136"/>
      <c r="W30" s="136"/>
      <c r="X30" s="136"/>
      <c r="Y30" s="136"/>
      <c r="Z30" s="136"/>
    </row>
    <row r="31" spans="1:27" s="130" customFormat="1" ht="30.75">
      <c r="A31" s="189" t="s">
        <v>130</v>
      </c>
      <c r="C31" s="4">
        <f>IFERROR(VLOOKUP(A31,'درآمد سود سهام'!$A$8:$S$87,13,0),0)</f>
        <v>0</v>
      </c>
      <c r="D31" s="4"/>
      <c r="E31" s="4">
        <f>IFERROR(VLOOKUP(A31,'درآمد ناشی از تغییر قیمت  '!$A$7:$Q$83,9,0),0)</f>
        <v>0</v>
      </c>
      <c r="F31" s="4"/>
      <c r="G31" s="4">
        <f>IFERROR(VLOOKUP(A31,'درآمد ناشی ازفروش'!$A$7:$I$106,9,0),0)</f>
        <v>620759</v>
      </c>
      <c r="H31" s="4"/>
      <c r="I31" s="4">
        <f t="shared" si="5"/>
        <v>620759</v>
      </c>
      <c r="J31" s="204"/>
      <c r="K31" s="116">
        <f t="shared" si="1"/>
        <v>1.146038500135814E-4</v>
      </c>
      <c r="L31" s="204"/>
      <c r="M31" s="4">
        <f>IFERROR(VLOOKUP(A31,'درآمد سود سهام'!$A$8:$S$87,19,0),0)</f>
        <v>0</v>
      </c>
      <c r="N31" s="4"/>
      <c r="O31" s="4">
        <f>IFERROR(VLOOKUP(A31,'درآمد ناشی از تغییر قیمت  '!$A$7:$Q$83,17,0),0)</f>
        <v>0</v>
      </c>
      <c r="P31" s="4"/>
      <c r="Q31" s="4">
        <f>IFERROR(VLOOKUP(A31,'درآمد ناشی ازفروش'!$A$7:$Q$106,17,0),0)</f>
        <v>850266908</v>
      </c>
      <c r="R31" s="4"/>
      <c r="S31" s="4">
        <f t="shared" si="6"/>
        <v>850266908</v>
      </c>
      <c r="T31" s="135"/>
      <c r="U31" s="116">
        <f>S31/درآمدها!$J$5</f>
        <v>3.1574179124739581E-2</v>
      </c>
      <c r="V31" s="136"/>
      <c r="W31" s="136"/>
      <c r="X31" s="136"/>
      <c r="Y31" s="136"/>
      <c r="Z31" s="136"/>
    </row>
    <row r="32" spans="1:27" s="130" customFormat="1" ht="30.75">
      <c r="A32" s="189" t="s">
        <v>134</v>
      </c>
      <c r="C32" s="4">
        <f>IFERROR(VLOOKUP(A32,'درآمد سود سهام'!$A$8:$S$87,13,0),0)</f>
        <v>0</v>
      </c>
      <c r="D32" s="4"/>
      <c r="E32" s="4">
        <f>IFERROR(VLOOKUP(A32,'درآمد ناشی از تغییر قیمت  '!$A$7:$Q$83,9,0),0)</f>
        <v>0</v>
      </c>
      <c r="F32" s="4"/>
      <c r="G32" s="4">
        <f>IFERROR(VLOOKUP(A32,'درآمد ناشی ازفروش'!$A$7:$I$106,9,0),0)</f>
        <v>0</v>
      </c>
      <c r="H32" s="4"/>
      <c r="I32" s="4">
        <f t="shared" si="5"/>
        <v>0</v>
      </c>
      <c r="J32" s="204"/>
      <c r="K32" s="116">
        <f t="shared" si="1"/>
        <v>0</v>
      </c>
      <c r="L32" s="204"/>
      <c r="M32" s="4">
        <f>IFERROR(VLOOKUP(A32,'درآمد سود سهام'!$A$8:$S$87,19,0),0)</f>
        <v>0</v>
      </c>
      <c r="N32" s="4"/>
      <c r="O32" s="4">
        <f>IFERROR(VLOOKUP(A32,'درآمد ناشی از تغییر قیمت  '!$A$7:$Q$83,17,0),0)</f>
        <v>0</v>
      </c>
      <c r="P32" s="4"/>
      <c r="Q32" s="4">
        <f>IFERROR(VLOOKUP(A32,'درآمد ناشی ازفروش'!$A$7:$Q$106,17,0),0)</f>
        <v>572536760</v>
      </c>
      <c r="R32" s="4"/>
      <c r="S32" s="4">
        <f t="shared" si="6"/>
        <v>572536760</v>
      </c>
      <c r="T32" s="135"/>
      <c r="U32" s="116">
        <f>S32/درآمدها!$J$5</f>
        <v>2.126082768322678E-2</v>
      </c>
      <c r="V32" s="136"/>
      <c r="W32" s="136"/>
      <c r="X32" s="136"/>
      <c r="Y32" s="136"/>
      <c r="Z32" s="136"/>
    </row>
    <row r="33" spans="1:26" s="130" customFormat="1" ht="33">
      <c r="A33" s="189" t="s">
        <v>128</v>
      </c>
      <c r="C33" s="4">
        <f>IFERROR(VLOOKUP(A33,'درآمد سود سهام'!$A$8:$S$87,13,0),0)</f>
        <v>0</v>
      </c>
      <c r="D33" s="4"/>
      <c r="E33" s="4">
        <f>IFERROR(VLOOKUP(A33,'درآمد ناشی از تغییر قیمت  '!$A$7:$Q$83,9,0),0)</f>
        <v>0</v>
      </c>
      <c r="F33" s="4"/>
      <c r="G33" s="4">
        <f>IFERROR(VLOOKUP(A33,'درآمد ناشی ازفروش'!$A$7:$I$106,9,0),0)</f>
        <v>-29705436</v>
      </c>
      <c r="H33" s="4"/>
      <c r="I33" s="4">
        <f t="shared" si="5"/>
        <v>-29705436</v>
      </c>
      <c r="J33" s="204"/>
      <c r="K33" s="116">
        <f t="shared" si="1"/>
        <v>-5.4841852183086211E-3</v>
      </c>
      <c r="L33" s="204"/>
      <c r="M33" s="4">
        <f>IFERROR(VLOOKUP(A33,'درآمد سود سهام'!$A$8:$S$87,19,0),0)</f>
        <v>0</v>
      </c>
      <c r="N33" s="4"/>
      <c r="O33" s="4">
        <f>IFERROR(VLOOKUP(A33,'درآمد ناشی از تغییر قیمت  '!$A$7:$Q$83,17,0),0)</f>
        <v>0</v>
      </c>
      <c r="P33" s="4"/>
      <c r="Q33" s="4">
        <f>IFERROR(VLOOKUP(A33,'درآمد ناشی ازفروش'!$A$7:$Q$106,17,0),0)</f>
        <v>754133656</v>
      </c>
      <c r="R33" s="4"/>
      <c r="S33" s="4">
        <f t="shared" si="6"/>
        <v>754133656</v>
      </c>
      <c r="T33" s="135"/>
      <c r="U33" s="116">
        <f>S33/درآمدها!$J$5</f>
        <v>2.8004325364781504E-2</v>
      </c>
      <c r="W33" s="39"/>
      <c r="X33" s="136"/>
      <c r="Y33" s="136"/>
      <c r="Z33" s="136"/>
    </row>
    <row r="34" spans="1:26" s="130" customFormat="1" ht="33">
      <c r="A34" s="189" t="s">
        <v>131</v>
      </c>
      <c r="C34" s="4">
        <f>IFERROR(VLOOKUP(A34,'درآمد سود سهام'!$A$8:$S$87,13,0),0)</f>
        <v>0</v>
      </c>
      <c r="D34" s="4"/>
      <c r="E34" s="4">
        <f>IFERROR(VLOOKUP(A34,'درآمد ناشی از تغییر قیمت  '!$A$7:$Q$83,9,0),0)</f>
        <v>0</v>
      </c>
      <c r="F34" s="4"/>
      <c r="G34" s="4">
        <f>IFERROR(VLOOKUP(A34,'درآمد ناشی ازفروش'!$A$7:$I$106,9,0),0)</f>
        <v>0</v>
      </c>
      <c r="H34" s="4"/>
      <c r="I34" s="4">
        <f t="shared" si="5"/>
        <v>0</v>
      </c>
      <c r="J34" s="204"/>
      <c r="K34" s="116">
        <f t="shared" si="1"/>
        <v>0</v>
      </c>
      <c r="L34" s="204"/>
      <c r="M34" s="4">
        <f>IFERROR(VLOOKUP(A34,'درآمد سود سهام'!$A$8:$S$87,19,0),0)</f>
        <v>0</v>
      </c>
      <c r="N34" s="4"/>
      <c r="O34" s="4">
        <f>IFERROR(VLOOKUP(A34,'درآمد ناشی از تغییر قیمت  '!$A$7:$Q$83,17,0),0)</f>
        <v>0</v>
      </c>
      <c r="P34" s="4"/>
      <c r="Q34" s="4">
        <f>IFERROR(VLOOKUP(A34,'درآمد ناشی ازفروش'!$A$7:$Q$106,17,0),0)</f>
        <v>1316246316</v>
      </c>
      <c r="R34" s="4"/>
      <c r="S34" s="4">
        <f t="shared" si="6"/>
        <v>1316246316</v>
      </c>
      <c r="T34" s="135"/>
      <c r="U34" s="116">
        <f>S34/درآمدها!$J$5</f>
        <v>4.8878060009907597E-2</v>
      </c>
      <c r="V34" s="190"/>
      <c r="W34" s="39"/>
      <c r="X34" s="136"/>
      <c r="Y34" s="136"/>
      <c r="Z34" s="136"/>
    </row>
    <row r="35" spans="1:26" s="130" customFormat="1" ht="33">
      <c r="A35" s="189" t="s">
        <v>94</v>
      </c>
      <c r="C35" s="4">
        <f>IFERROR(VLOOKUP(A35,'درآمد سود سهام'!$A$8:$S$87,13,0),0)</f>
        <v>0</v>
      </c>
      <c r="D35" s="4"/>
      <c r="E35" s="4">
        <f>IFERROR(VLOOKUP(A35,'درآمد ناشی از تغییر قیمت  '!$A$7:$Q$83,9,0),0)</f>
        <v>0</v>
      </c>
      <c r="F35" s="4"/>
      <c r="G35" s="4">
        <f>IFERROR(VLOOKUP(A35,'درآمد ناشی ازفروش'!$A$7:$I$106,9,0),0)</f>
        <v>0</v>
      </c>
      <c r="H35" s="4"/>
      <c r="I35" s="4">
        <f t="shared" si="5"/>
        <v>0</v>
      </c>
      <c r="J35" s="204"/>
      <c r="K35" s="116">
        <f t="shared" si="1"/>
        <v>0</v>
      </c>
      <c r="L35" s="204"/>
      <c r="M35" s="4">
        <f>IFERROR(VLOOKUP(A35,'درآمد سود سهام'!$A$8:$S$87,19,0),0)</f>
        <v>0</v>
      </c>
      <c r="N35" s="4"/>
      <c r="O35" s="4">
        <f>IFERROR(VLOOKUP(A35,'درآمد ناشی از تغییر قیمت  '!$A$7:$Q$83,17,0),0)</f>
        <v>0</v>
      </c>
      <c r="P35" s="4"/>
      <c r="Q35" s="4">
        <f>IFERROR(VLOOKUP(A35,'درآمد ناشی ازفروش'!$A$7:$Q$106,17,0),0)</f>
        <v>4544899</v>
      </c>
      <c r="R35" s="4"/>
      <c r="S35" s="4">
        <f t="shared" si="6"/>
        <v>4544899</v>
      </c>
      <c r="T35" s="135"/>
      <c r="U35" s="116">
        <f>S35/درآمدها!$J$5</f>
        <v>1.687722452557801E-4</v>
      </c>
      <c r="V35" s="182"/>
      <c r="W35" s="39"/>
      <c r="X35" s="136"/>
      <c r="Y35" s="136"/>
      <c r="Z35" s="136"/>
    </row>
    <row r="36" spans="1:26" s="130" customFormat="1" ht="33">
      <c r="A36" s="189" t="s">
        <v>98</v>
      </c>
      <c r="C36" s="4">
        <f>IFERROR(VLOOKUP(A36,'درآمد سود سهام'!$A$8:$S$87,13,0),0)</f>
        <v>0</v>
      </c>
      <c r="D36" s="4"/>
      <c r="E36" s="4">
        <f>IFERROR(VLOOKUP(A36,'درآمد ناشی از تغییر قیمت  '!$A$7:$Q$83,9,0),0)</f>
        <v>0</v>
      </c>
      <c r="F36" s="4"/>
      <c r="G36" s="4">
        <f>IFERROR(VLOOKUP(A36,'درآمد ناشی ازفروش'!$A$7:$I$106,9,0),0)</f>
        <v>0</v>
      </c>
      <c r="H36" s="4"/>
      <c r="I36" s="4">
        <f t="shared" si="5"/>
        <v>0</v>
      </c>
      <c r="J36" s="204"/>
      <c r="K36" s="116">
        <f t="shared" si="1"/>
        <v>0</v>
      </c>
      <c r="L36" s="204"/>
      <c r="M36" s="4">
        <f>IFERROR(VLOOKUP(A36,'درآمد سود سهام'!$A$8:$S$87,19,0),0)</f>
        <v>0</v>
      </c>
      <c r="N36" s="4"/>
      <c r="O36" s="4">
        <f>IFERROR(VLOOKUP(A36,'درآمد ناشی از تغییر قیمت  '!$A$7:$Q$83,17,0),0)</f>
        <v>0</v>
      </c>
      <c r="P36" s="4"/>
      <c r="Q36" s="4">
        <f>IFERROR(VLOOKUP(A36,'درآمد ناشی ازفروش'!$A$7:$Q$106,17,0),0)</f>
        <v>1523434213</v>
      </c>
      <c r="R36" s="4"/>
      <c r="S36" s="4">
        <f t="shared" si="6"/>
        <v>1523434213</v>
      </c>
      <c r="T36" s="135"/>
      <c r="U36" s="116">
        <f>S36/درآمدها!$J$5</f>
        <v>5.6571864991385355E-2</v>
      </c>
      <c r="V36" s="39"/>
      <c r="W36" s="39"/>
      <c r="X36" s="136"/>
      <c r="Y36" s="136"/>
      <c r="Z36" s="136"/>
    </row>
    <row r="37" spans="1:26" s="130" customFormat="1" ht="33">
      <c r="A37" s="189" t="s">
        <v>107</v>
      </c>
      <c r="C37" s="4">
        <f>IFERROR(VLOOKUP(A37,'درآمد سود سهام'!$A$8:$S$87,13,0),0)</f>
        <v>0</v>
      </c>
      <c r="D37" s="4"/>
      <c r="E37" s="4">
        <f>IFERROR(VLOOKUP(A37,'درآمد ناشی از تغییر قیمت  '!$A$7:$Q$83,9,0),0)</f>
        <v>3026354159</v>
      </c>
      <c r="F37" s="4"/>
      <c r="G37" s="4">
        <f>IFERROR(VLOOKUP(A37,'درآمد ناشی ازفروش'!$A$7:$I$106,9,0),0)</f>
        <v>-1903153764</v>
      </c>
      <c r="H37" s="4"/>
      <c r="I37" s="4">
        <f t="shared" si="5"/>
        <v>1123200395</v>
      </c>
      <c r="J37" s="204"/>
      <c r="K37" s="116">
        <f t="shared" si="1"/>
        <v>0.20736403274664625</v>
      </c>
      <c r="L37" s="204"/>
      <c r="M37" s="4">
        <f>IFERROR(VLOOKUP(A37,'درآمد سود سهام'!$A$8:$S$87,19,0),0)</f>
        <v>217608300</v>
      </c>
      <c r="N37" s="4"/>
      <c r="O37" s="4">
        <f>IFERROR(VLOOKUP(A37,'درآمد ناشی از تغییر قیمت  '!$A$7:$Q$83,17,0),0)</f>
        <v>-785602474</v>
      </c>
      <c r="P37" s="4"/>
      <c r="Q37" s="4">
        <f>IFERROR(VLOOKUP(A37,'درآمد ناشی ازفروش'!$A$7:$Q$106,17,0),0)</f>
        <v>-1892590478</v>
      </c>
      <c r="R37" s="4"/>
      <c r="S37" s="4">
        <f t="shared" si="6"/>
        <v>-2460584652</v>
      </c>
      <c r="T37" s="135"/>
      <c r="U37" s="116">
        <f>S37/درآمدها!$J$5</f>
        <v>-9.1372414735718499E-2</v>
      </c>
      <c r="V37" s="39"/>
      <c r="W37" s="39"/>
      <c r="X37" s="136"/>
      <c r="Y37" s="136"/>
      <c r="Z37" s="136"/>
    </row>
    <row r="38" spans="1:26" s="130" customFormat="1" ht="33">
      <c r="A38" s="189" t="s">
        <v>97</v>
      </c>
      <c r="C38" s="4">
        <f>IFERROR(VLOOKUP(A38,'درآمد سود سهام'!$A$8:$S$87,13,0),0)</f>
        <v>0</v>
      </c>
      <c r="D38" s="4"/>
      <c r="E38" s="4">
        <f>IFERROR(VLOOKUP(A38,'درآمد ناشی از تغییر قیمت  '!$A$7:$Q$83,9,0),0)</f>
        <v>0</v>
      </c>
      <c r="F38" s="4"/>
      <c r="G38" s="4">
        <f>IFERROR(VLOOKUP(A38,'درآمد ناشی ازفروش'!$A$7:$I$106,9,0),0)</f>
        <v>-23444671</v>
      </c>
      <c r="H38" s="4"/>
      <c r="I38" s="4">
        <f t="shared" si="5"/>
        <v>-23444671</v>
      </c>
      <c r="J38" s="204"/>
      <c r="K38" s="116">
        <f t="shared" si="1"/>
        <v>-4.3283296076283414E-3</v>
      </c>
      <c r="L38" s="204"/>
      <c r="M38" s="4">
        <f>IFERROR(VLOOKUP(A38,'درآمد سود سهام'!$A$8:$S$87,19,0),0)</f>
        <v>0</v>
      </c>
      <c r="N38" s="4"/>
      <c r="O38" s="4">
        <f>IFERROR(VLOOKUP(A38,'درآمد ناشی از تغییر قیمت  '!$A$7:$Q$83,17,0),0)</f>
        <v>0</v>
      </c>
      <c r="P38" s="4"/>
      <c r="Q38" s="4">
        <f>IFERROR(VLOOKUP(A38,'درآمد ناشی ازفروش'!$A$7:$Q$106,17,0),0)</f>
        <v>-138042703</v>
      </c>
      <c r="R38" s="4"/>
      <c r="S38" s="4">
        <f t="shared" si="6"/>
        <v>-138042703</v>
      </c>
      <c r="T38" s="135"/>
      <c r="U38" s="116">
        <f>S38/درآمدها!$J$5</f>
        <v>-5.1261374403450575E-3</v>
      </c>
      <c r="V38" s="39"/>
      <c r="W38" s="39"/>
      <c r="X38" s="136"/>
      <c r="Y38" s="136"/>
      <c r="Z38" s="136"/>
    </row>
    <row r="39" spans="1:26" s="130" customFormat="1" ht="33">
      <c r="A39" s="189" t="s">
        <v>108</v>
      </c>
      <c r="C39" s="4">
        <f>IFERROR(VLOOKUP(A39,'درآمد سود سهام'!$A$8:$S$87,13,0),0)</f>
        <v>0</v>
      </c>
      <c r="D39" s="4"/>
      <c r="E39" s="4">
        <f>IFERROR(VLOOKUP(A39,'درآمد ناشی از تغییر قیمت  '!$A$7:$Q$83,9,0),0)</f>
        <v>0</v>
      </c>
      <c r="F39" s="4"/>
      <c r="G39" s="4">
        <f>IFERROR(VLOOKUP(A39,'درآمد ناشی ازفروش'!$A$7:$I$106,9,0),0)</f>
        <v>1342542168</v>
      </c>
      <c r="H39" s="4"/>
      <c r="I39" s="4">
        <f t="shared" ref="I39:I42" si="7">G39+E39+C39</f>
        <v>1342542168</v>
      </c>
      <c r="J39" s="204"/>
      <c r="K39" s="116">
        <f t="shared" si="1"/>
        <v>0.24785867181688934</v>
      </c>
      <c r="L39" s="204"/>
      <c r="M39" s="4">
        <f>IFERROR(VLOOKUP(A39,'درآمد سود سهام'!$A$8:$S$87,19,0),0)</f>
        <v>0</v>
      </c>
      <c r="N39" s="4"/>
      <c r="O39" s="4">
        <f>IFERROR(VLOOKUP(A39,'درآمد ناشی از تغییر قیمت  '!$A$7:$Q$83,17,0),0)</f>
        <v>0</v>
      </c>
      <c r="P39" s="4"/>
      <c r="Q39" s="4">
        <f>IFERROR(VLOOKUP(A39,'درآمد ناشی ازفروش'!$A$7:$Q$106,17,0),0)</f>
        <v>2520565972</v>
      </c>
      <c r="R39" s="4"/>
      <c r="S39" s="4">
        <f t="shared" ref="S39:S55" si="8">Q39+O39+M39</f>
        <v>2520565972</v>
      </c>
      <c r="T39" s="135"/>
      <c r="U39" s="116">
        <f>S39/درآمدها!$J$5</f>
        <v>9.3599787016115807E-2</v>
      </c>
      <c r="V39" s="39"/>
      <c r="W39" s="39"/>
      <c r="X39" s="136"/>
      <c r="Y39" s="136"/>
      <c r="Z39" s="136"/>
    </row>
    <row r="40" spans="1:26" s="130" customFormat="1" ht="33">
      <c r="A40" s="189" t="s">
        <v>109</v>
      </c>
      <c r="C40" s="4">
        <f>IFERROR(VLOOKUP(A40,'درآمد سود سهام'!$A$8:$S$87,13,0),0)</f>
        <v>0</v>
      </c>
      <c r="D40" s="4"/>
      <c r="E40" s="4">
        <f>IFERROR(VLOOKUP(A40,'درآمد ناشی از تغییر قیمت  '!$A$7:$Q$83,9,0),0)</f>
        <v>0</v>
      </c>
      <c r="F40" s="4"/>
      <c r="G40" s="4">
        <f>IFERROR(VLOOKUP(A40,'درآمد ناشی ازفروش'!$A$7:$I$106,9,0),0)</f>
        <v>-97805916</v>
      </c>
      <c r="H40" s="4"/>
      <c r="I40" s="4">
        <f t="shared" si="7"/>
        <v>-97805916</v>
      </c>
      <c r="J40" s="204"/>
      <c r="K40" s="116">
        <f t="shared" si="1"/>
        <v>-1.8056821613065523E-2</v>
      </c>
      <c r="L40" s="204"/>
      <c r="M40" s="4">
        <f>IFERROR(VLOOKUP(A40,'درآمد سود سهام'!$A$8:$S$87,19,0),0)</f>
        <v>0</v>
      </c>
      <c r="N40" s="4"/>
      <c r="O40" s="4">
        <f>IFERROR(VLOOKUP(A40,'درآمد ناشی از تغییر قیمت  '!$A$7:$Q$83,17,0),0)</f>
        <v>0</v>
      </c>
      <c r="P40" s="4"/>
      <c r="Q40" s="4">
        <f>IFERROR(VLOOKUP(A40,'درآمد ناشی ازفروش'!$A$7:$Q$106,17,0),0)</f>
        <v>33408684</v>
      </c>
      <c r="R40" s="4"/>
      <c r="S40" s="4">
        <f t="shared" si="8"/>
        <v>33408684</v>
      </c>
      <c r="T40" s="135"/>
      <c r="U40" s="116">
        <f>S40/درآمدها!$J$5</f>
        <v>1.2406125218010029E-3</v>
      </c>
      <c r="V40" s="39"/>
      <c r="W40" s="39"/>
      <c r="X40" s="136"/>
      <c r="Y40" s="136"/>
      <c r="Z40" s="136"/>
    </row>
    <row r="41" spans="1:26" s="130" customFormat="1" ht="33">
      <c r="A41" s="189" t="s">
        <v>172</v>
      </c>
      <c r="C41" s="4">
        <f>IFERROR(VLOOKUP(A41,'درآمد سود سهام'!$A$8:$S$87,13,0),0)</f>
        <v>0</v>
      </c>
      <c r="D41" s="4"/>
      <c r="E41" s="4">
        <f>IFERROR(VLOOKUP(A41,'درآمد ناشی از تغییر قیمت  '!$A$7:$Q$83,9,0),0)</f>
        <v>4125000</v>
      </c>
      <c r="F41" s="4"/>
      <c r="G41" s="4">
        <f>IFERROR(VLOOKUP(A41,'درآمد ناشی ازفروش'!$A$7:$I$106,9,0),0)</f>
        <v>-14920</v>
      </c>
      <c r="H41" s="4"/>
      <c r="I41" s="4">
        <f t="shared" si="7"/>
        <v>4110080</v>
      </c>
      <c r="J41" s="204"/>
      <c r="K41" s="116">
        <f t="shared" si="1"/>
        <v>7.5879849001596539E-4</v>
      </c>
      <c r="L41" s="204"/>
      <c r="M41" s="4">
        <f>IFERROR(VLOOKUP(A41,'درآمد سود سهام'!$A$8:$S$87,19,0),0)</f>
        <v>0</v>
      </c>
      <c r="N41" s="4"/>
      <c r="O41" s="4">
        <f>IFERROR(VLOOKUP(A41,'درآمد ناشی از تغییر قیمت  '!$A$7:$Q$83,17,0),0)</f>
        <v>4125000</v>
      </c>
      <c r="P41" s="4"/>
      <c r="Q41" s="4">
        <f>IFERROR(VLOOKUP(A41,'درآمد ناشی ازفروش'!$A$7:$Q$106,17,0),0)</f>
        <v>-14920</v>
      </c>
      <c r="R41" s="4"/>
      <c r="S41" s="4">
        <f t="shared" si="8"/>
        <v>4110080</v>
      </c>
      <c r="T41" s="135"/>
      <c r="U41" s="116">
        <f>S41/درآمدها!$J$5</f>
        <v>1.5262548843898987E-4</v>
      </c>
      <c r="V41" s="39"/>
      <c r="W41" s="39"/>
      <c r="X41" s="136"/>
      <c r="Y41" s="136"/>
      <c r="Z41" s="136"/>
    </row>
    <row r="42" spans="1:26" s="130" customFormat="1" ht="33">
      <c r="A42" s="189" t="s">
        <v>168</v>
      </c>
      <c r="C42" s="4">
        <f>IFERROR(VLOOKUP(A42,'درآمد سود سهام'!$A$8:$S$87,13,0),0)</f>
        <v>0</v>
      </c>
      <c r="D42" s="4"/>
      <c r="E42" s="4">
        <f>IFERROR(VLOOKUP(A42,'درآمد ناشی از تغییر قیمت  '!$A$7:$Q$83,9,0),0)</f>
        <v>757638000</v>
      </c>
      <c r="F42" s="4"/>
      <c r="G42" s="4">
        <f>IFERROR(VLOOKUP(A42,'درآمد ناشی ازفروش'!$A$7:$I$106,9,0),0)</f>
        <v>-1375118</v>
      </c>
      <c r="H42" s="4"/>
      <c r="I42" s="4">
        <f t="shared" si="7"/>
        <v>756262882</v>
      </c>
      <c r="J42" s="204"/>
      <c r="K42" s="116">
        <f t="shared" si="1"/>
        <v>0.13962042902248184</v>
      </c>
      <c r="L42" s="204"/>
      <c r="M42" s="4">
        <f>IFERROR(VLOOKUP(A42,'درآمد سود سهام'!$A$8:$S$87,19,0),0)</f>
        <v>0</v>
      </c>
      <c r="N42" s="4"/>
      <c r="O42" s="4">
        <f>IFERROR(VLOOKUP(A42,'درآمد ناشی از تغییر قیمت  '!$A$7:$Q$83,17,0),0)</f>
        <v>757638000</v>
      </c>
      <c r="P42" s="4"/>
      <c r="Q42" s="4">
        <f>IFERROR(VLOOKUP(A42,'درآمد ناشی ازفروش'!$A$7:$Q$106,17,0),0)</f>
        <v>-1375118</v>
      </c>
      <c r="R42" s="4"/>
      <c r="S42" s="4">
        <f t="shared" ref="S42:S54" si="9">Q42+O42+M42</f>
        <v>756262882</v>
      </c>
      <c r="T42" s="135"/>
      <c r="U42" s="116">
        <f>S42/درآمدها!$J$5</f>
        <v>2.8083392964012417E-2</v>
      </c>
      <c r="V42" s="39"/>
      <c r="W42" s="39"/>
      <c r="X42" s="136"/>
      <c r="Y42" s="136"/>
      <c r="Z42" s="136"/>
    </row>
    <row r="43" spans="1:26" s="130" customFormat="1" ht="33">
      <c r="A43" s="189" t="s">
        <v>162</v>
      </c>
      <c r="C43" s="4">
        <f>IFERROR(VLOOKUP(A43,'درآمد سود سهام'!$A$8:$S$87,13,0),0)</f>
        <v>0</v>
      </c>
      <c r="D43" s="4"/>
      <c r="E43" s="4">
        <f>IFERROR(VLOOKUP(A43,'درآمد ناشی از تغییر قیمت  '!$A$7:$Q$83,9,0),0)</f>
        <v>268000000</v>
      </c>
      <c r="F43" s="4"/>
      <c r="G43" s="4">
        <f>IFERROR(VLOOKUP(A43,'درآمد ناشی ازفروش'!$A$7:$I$106,9,0),0)</f>
        <v>-163267</v>
      </c>
      <c r="H43" s="4"/>
      <c r="I43" s="4">
        <f t="shared" ref="I43:I54" si="10">G43+E43+C43</f>
        <v>267836733</v>
      </c>
      <c r="J43" s="204"/>
      <c r="K43" s="116">
        <f t="shared" si="1"/>
        <v>4.9447725730693629E-2</v>
      </c>
      <c r="L43" s="204"/>
      <c r="M43" s="4">
        <f>IFERROR(VLOOKUP(A43,'درآمد سود سهام'!$A$8:$S$87,19,0),0)</f>
        <v>0</v>
      </c>
      <c r="N43" s="4"/>
      <c r="O43" s="4">
        <f>IFERROR(VLOOKUP(A43,'درآمد ناشی از تغییر قیمت  '!$A$7:$Q$83,17,0),0)</f>
        <v>268000000</v>
      </c>
      <c r="P43" s="4"/>
      <c r="Q43" s="4">
        <f>IFERROR(VLOOKUP(A43,'درآمد ناشی ازفروش'!$A$7:$Q$106,17,0),0)</f>
        <v>-163267</v>
      </c>
      <c r="R43" s="4"/>
      <c r="S43" s="4">
        <f t="shared" si="9"/>
        <v>267836733</v>
      </c>
      <c r="T43" s="135"/>
      <c r="U43" s="116">
        <f>S43/درآمدها!$J$5</f>
        <v>9.9459650897375032E-3</v>
      </c>
      <c r="V43" s="39"/>
      <c r="W43" s="39"/>
      <c r="X43" s="136"/>
      <c r="Y43" s="136"/>
      <c r="Z43" s="136"/>
    </row>
    <row r="44" spans="1:26" s="130" customFormat="1" ht="33">
      <c r="A44" s="189" t="s">
        <v>164</v>
      </c>
      <c r="C44" s="4">
        <f>IFERROR(VLOOKUP(A44,'درآمد سود سهام'!$A$8:$S$87,13,0),0)</f>
        <v>0</v>
      </c>
      <c r="D44" s="4"/>
      <c r="E44" s="4">
        <f>IFERROR(VLOOKUP(A44,'درآمد ناشی از تغییر قیمت  '!$A$7:$Q$83,9,0),0)</f>
        <v>208604000</v>
      </c>
      <c r="F44" s="4"/>
      <c r="G44" s="4">
        <f>IFERROR(VLOOKUP(A44,'درآمد ناشی ازفروش'!$A$7:$I$106,9,0),0)</f>
        <v>-73722</v>
      </c>
      <c r="H44" s="4"/>
      <c r="I44" s="4">
        <f t="shared" si="10"/>
        <v>208530278</v>
      </c>
      <c r="J44" s="204"/>
      <c r="K44" s="116">
        <f t="shared" si="1"/>
        <v>3.8498632646812102E-2</v>
      </c>
      <c r="L44" s="204"/>
      <c r="M44" s="4">
        <f>IFERROR(VLOOKUP(A44,'درآمد سود سهام'!$A$8:$S$87,19,0),0)</f>
        <v>0</v>
      </c>
      <c r="N44" s="4"/>
      <c r="O44" s="4">
        <f>IFERROR(VLOOKUP(A44,'درآمد ناشی از تغییر قیمت  '!$A$7:$Q$83,17,0),0)</f>
        <v>208604000</v>
      </c>
      <c r="P44" s="4"/>
      <c r="Q44" s="4">
        <f>IFERROR(VLOOKUP(A44,'درآمد ناشی ازفروش'!$A$7:$Q$106,17,0),0)</f>
        <v>-73722</v>
      </c>
      <c r="R44" s="4"/>
      <c r="S44" s="4">
        <f t="shared" si="9"/>
        <v>208530278</v>
      </c>
      <c r="T44" s="135"/>
      <c r="U44" s="116">
        <f>S44/درآمدها!$J$5</f>
        <v>7.7436535381472729E-3</v>
      </c>
      <c r="V44" s="39"/>
      <c r="W44" s="39"/>
      <c r="X44" s="136"/>
      <c r="Y44" s="136"/>
      <c r="Z44" s="136"/>
    </row>
    <row r="45" spans="1:26" s="130" customFormat="1" ht="33">
      <c r="A45" s="189" t="s">
        <v>167</v>
      </c>
      <c r="C45" s="4">
        <f>IFERROR(VLOOKUP(A45,'درآمد سود سهام'!$A$8:$S$87,13,0),0)</f>
        <v>0</v>
      </c>
      <c r="D45" s="4"/>
      <c r="E45" s="4">
        <f>IFERROR(VLOOKUP(A45,'درآمد ناشی از تغییر قیمت  '!$A$7:$Q$83,9,0),0)</f>
        <v>3630000</v>
      </c>
      <c r="F45" s="4"/>
      <c r="G45" s="4">
        <f>IFERROR(VLOOKUP(A45,'درآمد ناشی ازفروش'!$A$7:$I$106,9,0),0)</f>
        <v>-8036</v>
      </c>
      <c r="H45" s="4"/>
      <c r="I45" s="4">
        <f t="shared" si="10"/>
        <v>3621964</v>
      </c>
      <c r="J45" s="204"/>
      <c r="K45" s="116">
        <f t="shared" si="1"/>
        <v>6.6868304609452511E-4</v>
      </c>
      <c r="L45" s="204"/>
      <c r="M45" s="4">
        <f>IFERROR(VLOOKUP(A45,'درآمد سود سهام'!$A$8:$S$87,19,0),0)</f>
        <v>0</v>
      </c>
      <c r="N45" s="4"/>
      <c r="O45" s="4">
        <f>IFERROR(VLOOKUP(A45,'درآمد ناشی از تغییر قیمت  '!$A$7:$Q$83,17,0),0)</f>
        <v>3630000</v>
      </c>
      <c r="P45" s="4"/>
      <c r="Q45" s="4">
        <f>IFERROR(VLOOKUP(A45,'درآمد ناشی ازفروش'!$A$7:$Q$106,17,0),0)</f>
        <v>-8036</v>
      </c>
      <c r="R45" s="4"/>
      <c r="S45" s="4">
        <f t="shared" si="9"/>
        <v>3621964</v>
      </c>
      <c r="T45" s="135"/>
      <c r="U45" s="116">
        <f>S45/درآمدها!$J$5</f>
        <v>1.3449957777182865E-4</v>
      </c>
      <c r="V45" s="39"/>
      <c r="W45" s="39"/>
      <c r="X45" s="136"/>
      <c r="Y45" s="136"/>
      <c r="Z45" s="136"/>
    </row>
    <row r="46" spans="1:26" s="130" customFormat="1" ht="33">
      <c r="A46" s="189" t="s">
        <v>170</v>
      </c>
      <c r="C46" s="4">
        <f>IFERROR(VLOOKUP(A46,'درآمد سود سهام'!$A$8:$S$87,13,0),0)</f>
        <v>0</v>
      </c>
      <c r="D46" s="4"/>
      <c r="E46" s="4">
        <f>IFERROR(VLOOKUP(A46,'درآمد ناشی از تغییر قیمت  '!$A$7:$Q$83,9,0),0)</f>
        <v>118875000</v>
      </c>
      <c r="F46" s="4"/>
      <c r="G46" s="4">
        <f>IFERROR(VLOOKUP(A46,'درآمد ناشی ازفروش'!$A$7:$I$106,9,0),0)</f>
        <v>-335473</v>
      </c>
      <c r="H46" s="4"/>
      <c r="I46" s="4">
        <f t="shared" si="10"/>
        <v>118539527</v>
      </c>
      <c r="J46" s="204"/>
      <c r="K46" s="116">
        <f t="shared" si="1"/>
        <v>2.1884638278283332E-2</v>
      </c>
      <c r="L46" s="204"/>
      <c r="M46" s="4">
        <f>IFERROR(VLOOKUP(A46,'درآمد سود سهام'!$A$8:$S$87,19,0),0)</f>
        <v>0</v>
      </c>
      <c r="N46" s="4"/>
      <c r="O46" s="4">
        <f>IFERROR(VLOOKUP(A46,'درآمد ناشی از تغییر قیمت  '!$A$7:$Q$83,17,0),0)</f>
        <v>118875000</v>
      </c>
      <c r="P46" s="4"/>
      <c r="Q46" s="4">
        <f>IFERROR(VLOOKUP(A46,'درآمد ناشی ازفروش'!$A$7:$Q$106,17,0),0)</f>
        <v>-335473</v>
      </c>
      <c r="R46" s="4"/>
      <c r="S46" s="4">
        <f t="shared" si="9"/>
        <v>118539527</v>
      </c>
      <c r="T46" s="135"/>
      <c r="U46" s="116">
        <f>S46/درآمدها!$J$5</f>
        <v>4.4018980671183599E-3</v>
      </c>
      <c r="V46" s="39"/>
      <c r="W46" s="39"/>
      <c r="X46" s="136"/>
      <c r="Y46" s="136"/>
      <c r="Z46" s="136"/>
    </row>
    <row r="47" spans="1:26" s="130" customFormat="1" ht="33">
      <c r="A47" s="189" t="s">
        <v>161</v>
      </c>
      <c r="C47" s="4">
        <f>IFERROR(VLOOKUP(A47,'درآمد سود سهام'!$A$8:$S$87,13,0),0)</f>
        <v>0</v>
      </c>
      <c r="D47" s="4"/>
      <c r="E47" s="4">
        <f>IFERROR(VLOOKUP(A47,'درآمد ناشی از تغییر قیمت  '!$A$7:$Q$83,9,0),0)</f>
        <v>257812000</v>
      </c>
      <c r="F47" s="4"/>
      <c r="G47" s="4">
        <f>IFERROR(VLOOKUP(A47,'درآمد ناشی ازفروش'!$A$7:$I$106,9,0),0)</f>
        <v>-343019</v>
      </c>
      <c r="H47" s="4"/>
      <c r="I47" s="4">
        <f t="shared" si="10"/>
        <v>257468981</v>
      </c>
      <c r="J47" s="204"/>
      <c r="K47" s="116">
        <f t="shared" si="1"/>
        <v>4.7533642656286318E-2</v>
      </c>
      <c r="L47" s="204"/>
      <c r="M47" s="4">
        <f>IFERROR(VLOOKUP(A47,'درآمد سود سهام'!$A$8:$S$87,19,0),0)</f>
        <v>0</v>
      </c>
      <c r="N47" s="4"/>
      <c r="O47" s="4">
        <f>IFERROR(VLOOKUP(A47,'درآمد ناشی از تغییر قیمت  '!$A$7:$Q$83,17,0),0)</f>
        <v>257812000</v>
      </c>
      <c r="P47" s="4"/>
      <c r="Q47" s="4">
        <f>IFERROR(VLOOKUP(A47,'درآمد ناشی ازفروش'!$A$7:$Q$106,17,0),0)</f>
        <v>-343019</v>
      </c>
      <c r="R47" s="4"/>
      <c r="S47" s="4">
        <f t="shared" si="9"/>
        <v>257468981</v>
      </c>
      <c r="T47" s="135"/>
      <c r="U47" s="116">
        <f>S47/درآمدها!$J$5</f>
        <v>9.5609645026408247E-3</v>
      </c>
      <c r="V47" s="39"/>
      <c r="W47" s="39"/>
      <c r="X47" s="136"/>
      <c r="Y47" s="136"/>
      <c r="Z47" s="136"/>
    </row>
    <row r="48" spans="1:26" s="130" customFormat="1" ht="33">
      <c r="A48" s="189" t="s">
        <v>163</v>
      </c>
      <c r="C48" s="4">
        <f>IFERROR(VLOOKUP(A48,'درآمد سود سهام'!$A$8:$S$87,13,0),0)</f>
        <v>0</v>
      </c>
      <c r="D48" s="4"/>
      <c r="E48" s="4">
        <f>IFERROR(VLOOKUP(A48,'درآمد ناشی از تغییر قیمت  '!$A$7:$Q$83,9,0),0)</f>
        <v>631139448</v>
      </c>
      <c r="F48" s="4"/>
      <c r="G48" s="4">
        <f>IFERROR(VLOOKUP(A48,'درآمد ناشی ازفروش'!$A$7:$I$106,9,0),0)</f>
        <v>-303560</v>
      </c>
      <c r="H48" s="4"/>
      <c r="I48" s="4">
        <f t="shared" si="10"/>
        <v>630835888</v>
      </c>
      <c r="J48" s="204"/>
      <c r="K48" s="116">
        <f t="shared" si="1"/>
        <v>0.11646423409332193</v>
      </c>
      <c r="L48" s="204"/>
      <c r="M48" s="4">
        <f>IFERROR(VLOOKUP(A48,'درآمد سود سهام'!$A$8:$S$87,19,0),0)</f>
        <v>0</v>
      </c>
      <c r="N48" s="4"/>
      <c r="O48" s="4">
        <f>IFERROR(VLOOKUP(A48,'درآمد ناشی از تغییر قیمت  '!$A$7:$Q$83,17,0),0)</f>
        <v>631139448</v>
      </c>
      <c r="P48" s="4"/>
      <c r="Q48" s="4">
        <f>IFERROR(VLOOKUP(A48,'درآمد ناشی ازفروش'!$A$7:$Q$106,17,0),0)</f>
        <v>-303560</v>
      </c>
      <c r="R48" s="4"/>
      <c r="S48" s="4">
        <f t="shared" si="9"/>
        <v>630835888</v>
      </c>
      <c r="T48" s="135"/>
      <c r="U48" s="116">
        <f>S48/درآمدها!$J$5</f>
        <v>2.3425732718303272E-2</v>
      </c>
      <c r="V48" s="39"/>
      <c r="W48" s="39"/>
      <c r="X48" s="136"/>
      <c r="Y48" s="136"/>
      <c r="Z48" s="136"/>
    </row>
    <row r="49" spans="1:26" s="130" customFormat="1" ht="33">
      <c r="A49" s="189" t="s">
        <v>165</v>
      </c>
      <c r="C49" s="4">
        <f>IFERROR(VLOOKUP(A49,'درآمد سود سهام'!$A$8:$S$87,13,0),0)</f>
        <v>0</v>
      </c>
      <c r="D49" s="4"/>
      <c r="E49" s="4">
        <f>IFERROR(VLOOKUP(A49,'درآمد ناشی از تغییر قیمت  '!$A$7:$Q$83,9,0),0)</f>
        <v>-1727200000</v>
      </c>
      <c r="F49" s="4"/>
      <c r="G49" s="4">
        <f>IFERROR(VLOOKUP(A49,'درآمد ناشی ازفروش'!$A$7:$I$106,9,0),0)</f>
        <v>-494400</v>
      </c>
      <c r="H49" s="4"/>
      <c r="I49" s="4">
        <f t="shared" si="10"/>
        <v>-1727694400</v>
      </c>
      <c r="J49" s="204"/>
      <c r="K49" s="116">
        <f t="shared" si="1"/>
        <v>-0.31896505711057671</v>
      </c>
      <c r="L49" s="204"/>
      <c r="M49" s="4">
        <f>IFERROR(VLOOKUP(A49,'درآمد سود سهام'!$A$8:$S$87,19,0),0)</f>
        <v>0</v>
      </c>
      <c r="N49" s="4"/>
      <c r="O49" s="4">
        <f>IFERROR(VLOOKUP(A49,'درآمد ناشی از تغییر قیمت  '!$A$7:$Q$83,17,0),0)</f>
        <v>-1727200000</v>
      </c>
      <c r="P49" s="4"/>
      <c r="Q49" s="4">
        <f>IFERROR(VLOOKUP(A49,'درآمد ناشی ازفروش'!$A$7:$Q$106,17,0),0)</f>
        <v>-494400</v>
      </c>
      <c r="R49" s="4"/>
      <c r="S49" s="4">
        <f t="shared" si="9"/>
        <v>-1727694400</v>
      </c>
      <c r="T49" s="135"/>
      <c r="U49" s="116">
        <f>S49/درآمدها!$J$5</f>
        <v>-6.4156951123410619E-2</v>
      </c>
      <c r="V49" s="39"/>
      <c r="W49" s="39"/>
      <c r="X49" s="136"/>
      <c r="Y49" s="136"/>
      <c r="Z49" s="136"/>
    </row>
    <row r="50" spans="1:26" s="130" customFormat="1" ht="33">
      <c r="A50" s="189" t="s">
        <v>171</v>
      </c>
      <c r="C50" s="4">
        <f>IFERROR(VLOOKUP(A50,'درآمد سود سهام'!$A$8:$S$87,13,0),0)</f>
        <v>0</v>
      </c>
      <c r="D50" s="4"/>
      <c r="E50" s="4">
        <f>IFERROR(VLOOKUP(A50,'درآمد ناشی از تغییر قیمت  '!$A$7:$Q$83,9,0),0)</f>
        <v>105071000</v>
      </c>
      <c r="F50" s="4"/>
      <c r="G50" s="4">
        <f>IFERROR(VLOOKUP(A50,'درآمد ناشی ازفروش'!$A$7:$I$106,9,0),0)</f>
        <v>-308304</v>
      </c>
      <c r="H50" s="4"/>
      <c r="I50" s="4">
        <f t="shared" si="10"/>
        <v>104762696</v>
      </c>
      <c r="J50" s="204"/>
      <c r="K50" s="116">
        <f t="shared" si="1"/>
        <v>1.9341174754457728E-2</v>
      </c>
      <c r="L50" s="204"/>
      <c r="M50" s="4">
        <f>IFERROR(VLOOKUP(A50,'درآمد سود سهام'!$A$8:$S$87,19,0),0)</f>
        <v>0</v>
      </c>
      <c r="N50" s="4"/>
      <c r="O50" s="4">
        <f>IFERROR(VLOOKUP(A50,'درآمد ناشی از تغییر قیمت  '!$A$7:$Q$83,17,0),0)</f>
        <v>105071000</v>
      </c>
      <c r="P50" s="4"/>
      <c r="Q50" s="4">
        <f>IFERROR(VLOOKUP(A50,'درآمد ناشی ازفروش'!$A$7:$Q$106,17,0),0)</f>
        <v>-308304</v>
      </c>
      <c r="R50" s="4"/>
      <c r="S50" s="4">
        <f t="shared" si="9"/>
        <v>104762696</v>
      </c>
      <c r="T50" s="135"/>
      <c r="U50" s="116">
        <f>S50/درآمدها!$J$5</f>
        <v>3.8903032659182817E-3</v>
      </c>
      <c r="V50" s="39"/>
      <c r="W50" s="39"/>
      <c r="X50" s="136"/>
      <c r="Y50" s="136"/>
      <c r="Z50" s="136"/>
    </row>
    <row r="51" spans="1:26" s="130" customFormat="1" ht="33">
      <c r="A51" s="189" t="s">
        <v>169</v>
      </c>
      <c r="C51" s="4">
        <f>IFERROR(VLOOKUP(A51,'درآمد سود سهام'!$A$8:$S$87,13,0),0)</f>
        <v>0</v>
      </c>
      <c r="D51" s="4"/>
      <c r="E51" s="4">
        <f>IFERROR(VLOOKUP(A51,'درآمد ناشی از تغییر قیمت  '!$A$7:$Q$83,9,0),0)</f>
        <v>22970000</v>
      </c>
      <c r="F51" s="4"/>
      <c r="G51" s="4">
        <f>IFERROR(VLOOKUP(A51,'درآمد ناشی ازفروش'!$A$7:$I$106,9,0),0)</f>
        <v>-53091</v>
      </c>
      <c r="H51" s="4"/>
      <c r="I51" s="4">
        <f t="shared" si="10"/>
        <v>22916909</v>
      </c>
      <c r="J51" s="204"/>
      <c r="K51" s="116">
        <f t="shared" si="1"/>
        <v>4.2308947623971522E-3</v>
      </c>
      <c r="L51" s="204"/>
      <c r="M51" s="4">
        <f>IFERROR(VLOOKUP(A51,'درآمد سود سهام'!$A$8:$S$87,19,0),0)</f>
        <v>0</v>
      </c>
      <c r="N51" s="4"/>
      <c r="O51" s="4">
        <f>IFERROR(VLOOKUP(A51,'درآمد ناشی از تغییر قیمت  '!$A$7:$Q$83,17,0),0)</f>
        <v>22970000</v>
      </c>
      <c r="P51" s="4"/>
      <c r="Q51" s="4">
        <f>IFERROR(VLOOKUP(A51,'درآمد ناشی ازفروش'!$A$7:$Q$106,17,0),0)</f>
        <v>-53091</v>
      </c>
      <c r="R51" s="4"/>
      <c r="S51" s="4">
        <f t="shared" si="9"/>
        <v>22916909</v>
      </c>
      <c r="T51" s="135"/>
      <c r="U51" s="116">
        <f>S51/درآمدها!$J$5</f>
        <v>8.5100641097907658E-4</v>
      </c>
      <c r="V51" s="39"/>
      <c r="W51" s="39"/>
      <c r="X51" s="136"/>
      <c r="Y51" s="136"/>
      <c r="Z51" s="136"/>
    </row>
    <row r="52" spans="1:26" s="130" customFormat="1" ht="33">
      <c r="A52" s="189" t="s">
        <v>166</v>
      </c>
      <c r="C52" s="4">
        <f>IFERROR(VLOOKUP(A52,'درآمد سود سهام'!$A$8:$S$87,13,0),0)</f>
        <v>0</v>
      </c>
      <c r="D52" s="4"/>
      <c r="E52" s="4">
        <f>IFERROR(VLOOKUP(A52,'درآمد ناشی از تغییر قیمت  '!$A$7:$Q$83,9,0),0)</f>
        <v>12833000</v>
      </c>
      <c r="F52" s="4"/>
      <c r="G52" s="4">
        <f>IFERROR(VLOOKUP(A52,'درآمد ناشی ازفروش'!$A$7:$I$106,9,0),0)</f>
        <v>-67461</v>
      </c>
      <c r="H52" s="4"/>
      <c r="I52" s="4">
        <f t="shared" si="10"/>
        <v>12765539</v>
      </c>
      <c r="J52" s="204"/>
      <c r="K52" s="116">
        <f t="shared" si="1"/>
        <v>2.3567598969946855E-3</v>
      </c>
      <c r="L52" s="204"/>
      <c r="M52" s="4">
        <f>IFERROR(VLOOKUP(A52,'درآمد سود سهام'!$A$8:$S$87,19,0),0)</f>
        <v>0</v>
      </c>
      <c r="N52" s="4"/>
      <c r="O52" s="4">
        <f>IFERROR(VLOOKUP(A52,'درآمد ناشی از تغییر قیمت  '!$A$7:$Q$83,17,0),0)</f>
        <v>12833000</v>
      </c>
      <c r="P52" s="4"/>
      <c r="Q52" s="4">
        <f>IFERROR(VLOOKUP(A52,'درآمد ناشی ازفروش'!$A$7:$Q$106,17,0),0)</f>
        <v>-67461</v>
      </c>
      <c r="R52" s="4"/>
      <c r="S52" s="4">
        <f t="shared" si="9"/>
        <v>12765539</v>
      </c>
      <c r="T52" s="135"/>
      <c r="U52" s="116">
        <f>S52/درآمدها!$J$5</f>
        <v>4.740410466613726E-4</v>
      </c>
      <c r="V52" s="39"/>
      <c r="W52" s="39"/>
      <c r="X52" s="136"/>
      <c r="Y52" s="136"/>
      <c r="Z52" s="136"/>
    </row>
    <row r="53" spans="1:26" s="130" customFormat="1" ht="33">
      <c r="A53" s="189" t="s">
        <v>173</v>
      </c>
      <c r="C53" s="4">
        <f>IFERROR(VLOOKUP(A53,'درآمد سود سهام'!$A$8:$S$87,13,0),0)</f>
        <v>0</v>
      </c>
      <c r="D53" s="4"/>
      <c r="E53" s="4">
        <f>IFERROR(VLOOKUP(A53,'درآمد ناشی از تغییر قیمت  '!$A$7:$Q$83,9,0),0)</f>
        <v>18872000</v>
      </c>
      <c r="F53" s="4"/>
      <c r="G53" s="4">
        <f>IFERROR(VLOOKUP(A53,'درآمد ناشی ازفروش'!$A$7:$I$106,9,0),0)</f>
        <v>-56118</v>
      </c>
      <c r="H53" s="4"/>
      <c r="I53" s="4">
        <f t="shared" si="10"/>
        <v>18815882</v>
      </c>
      <c r="J53" s="204"/>
      <c r="K53" s="116">
        <f t="shared" si="1"/>
        <v>3.4737676273743049E-3</v>
      </c>
      <c r="L53" s="204"/>
      <c r="M53" s="4">
        <f>IFERROR(VLOOKUP(A53,'درآمد سود سهام'!$A$8:$S$87,19,0),0)</f>
        <v>0</v>
      </c>
      <c r="N53" s="4"/>
      <c r="O53" s="4">
        <f>IFERROR(VLOOKUP(A53,'درآمد ناشی از تغییر قیمت  '!$A$7:$Q$83,17,0),0)</f>
        <v>18872000</v>
      </c>
      <c r="P53" s="4"/>
      <c r="Q53" s="4">
        <f>IFERROR(VLOOKUP(A53,'درآمد ناشی ازفروش'!$A$7:$Q$106,17,0),0)</f>
        <v>-56118</v>
      </c>
      <c r="R53" s="4"/>
      <c r="S53" s="4">
        <f t="shared" si="9"/>
        <v>18815882</v>
      </c>
      <c r="T53" s="135"/>
      <c r="U53" s="116">
        <f>S53/درآمدها!$J$5</f>
        <v>6.9871710055775013E-4</v>
      </c>
      <c r="V53" s="39"/>
      <c r="W53" s="39"/>
      <c r="X53" s="136"/>
      <c r="Y53" s="136"/>
      <c r="Z53" s="136"/>
    </row>
    <row r="54" spans="1:26" s="130" customFormat="1" ht="33">
      <c r="A54" s="189" t="s">
        <v>136</v>
      </c>
      <c r="C54" s="4">
        <f>IFERROR(VLOOKUP(A54,'درآمد سود سهام'!$A$8:$S$87,13,0),0)</f>
        <v>0</v>
      </c>
      <c r="D54" s="4"/>
      <c r="E54" s="4">
        <f>IFERROR(VLOOKUP(A54,'درآمد ناشی از تغییر قیمت  '!$A$7:$Q$83,9,0),0)</f>
        <v>0</v>
      </c>
      <c r="F54" s="4"/>
      <c r="G54" s="4">
        <f>IFERROR(VLOOKUP(A54,'درآمد ناشی ازفروش'!$A$7:$I$106,9,0),0)</f>
        <v>0</v>
      </c>
      <c r="H54" s="4"/>
      <c r="I54" s="4">
        <f t="shared" si="10"/>
        <v>0</v>
      </c>
      <c r="J54" s="204"/>
      <c r="K54" s="116">
        <f t="shared" si="1"/>
        <v>0</v>
      </c>
      <c r="L54" s="204"/>
      <c r="M54" s="4">
        <f>IFERROR(VLOOKUP(A54,'درآمد سود سهام'!$A$8:$S$87,19,0),0)</f>
        <v>0</v>
      </c>
      <c r="N54" s="4"/>
      <c r="O54" s="4">
        <f>IFERROR(VLOOKUP(A54,'درآمد ناشی از تغییر قیمت  '!$A$7:$Q$83,17,0),0)</f>
        <v>0</v>
      </c>
      <c r="P54" s="4"/>
      <c r="Q54" s="4">
        <f>IFERROR(VLOOKUP(A54,'درآمد ناشی ازفروش'!$A$7:$Q$106,17,0),0)</f>
        <v>4980867746</v>
      </c>
      <c r="R54" s="4"/>
      <c r="S54" s="4">
        <f t="shared" si="9"/>
        <v>4980867746</v>
      </c>
      <c r="T54" s="135"/>
      <c r="U54" s="116">
        <f>S54/درآمدها!$J$5</f>
        <v>0.18496169723783004</v>
      </c>
      <c r="V54" s="39"/>
      <c r="W54" s="39"/>
      <c r="X54" s="136"/>
      <c r="Y54" s="136"/>
      <c r="Z54" s="136"/>
    </row>
    <row r="55" spans="1:26" s="130" customFormat="1" ht="33">
      <c r="A55" s="189" t="s">
        <v>143</v>
      </c>
      <c r="C55" s="4">
        <f>IFERROR(VLOOKUP(A55,'درآمد سود سهام'!$A$8:$S$87,13,0),0)</f>
        <v>0</v>
      </c>
      <c r="D55" s="4"/>
      <c r="E55" s="4">
        <f>IFERROR(VLOOKUP(A55,'درآمد ناشی از تغییر قیمت  '!$A$7:$Q$83,9,0),0)</f>
        <v>0</v>
      </c>
      <c r="F55" s="4"/>
      <c r="G55" s="4">
        <f>IFERROR(VLOOKUP(A55,'درآمد ناشی ازفروش'!$A$7:$I$106,9,0),0)</f>
        <v>-473099508</v>
      </c>
      <c r="H55" s="4"/>
      <c r="I55" s="4">
        <f t="shared" si="5"/>
        <v>-473099508</v>
      </c>
      <c r="J55" s="204"/>
      <c r="K55" s="116">
        <f t="shared" si="1"/>
        <v>-8.7343115534903482E-2</v>
      </c>
      <c r="L55" s="204"/>
      <c r="M55" s="4">
        <f>IFERROR(VLOOKUP(A55,'درآمد سود سهام'!$A$8:$S$87,19,0),0)</f>
        <v>0</v>
      </c>
      <c r="N55" s="4"/>
      <c r="O55" s="4">
        <f>IFERROR(VLOOKUP(A55,'درآمد ناشی از تغییر قیمت  '!$A$7:$Q$83,17,0),0)</f>
        <v>0</v>
      </c>
      <c r="P55" s="4"/>
      <c r="Q55" s="4">
        <f>IFERROR(VLOOKUP(A55,'درآمد ناشی ازفروش'!$A$7:$Q$106,17,0),0)</f>
        <v>487978397</v>
      </c>
      <c r="R55" s="4"/>
      <c r="S55" s="4">
        <f t="shared" si="8"/>
        <v>487978397</v>
      </c>
      <c r="T55" s="135"/>
      <c r="U55" s="116">
        <f>S55/درآمدها!$J$5</f>
        <v>1.8120800857842258E-2</v>
      </c>
      <c r="V55" s="39"/>
      <c r="W55" s="39"/>
      <c r="X55" s="136"/>
      <c r="Y55" s="136"/>
      <c r="Z55" s="136"/>
    </row>
    <row r="56" spans="1:26" s="190" customFormat="1" ht="25.5" customHeight="1" thickBot="1">
      <c r="C56" s="202">
        <f>SUM(C11:C55)</f>
        <v>0</v>
      </c>
      <c r="D56" s="205"/>
      <c r="E56" s="202">
        <f>SUM(E11:E55)</f>
        <v>6303483472</v>
      </c>
      <c r="F56" s="205"/>
      <c r="G56" s="202">
        <f>SUM(G11:G55)</f>
        <v>-2173384428</v>
      </c>
      <c r="H56" s="205"/>
      <c r="I56" s="202">
        <f>SUM(I11:I55)</f>
        <v>4130099044</v>
      </c>
      <c r="J56" s="206"/>
      <c r="K56" s="66">
        <f>SUM(K11:K55)</f>
        <v>0.76249438410045101</v>
      </c>
      <c r="L56" s="207"/>
      <c r="M56" s="202">
        <f>SUM(M11:M55)</f>
        <v>650203600</v>
      </c>
      <c r="N56" s="205"/>
      <c r="O56" s="202">
        <f>SUM(O11:O55)</f>
        <v>1924152609</v>
      </c>
      <c r="P56" s="205"/>
      <c r="Q56" s="202">
        <f>SUM(Q11:Q55)</f>
        <v>19100346773</v>
      </c>
      <c r="R56" s="205"/>
      <c r="S56" s="202">
        <f>SUM(S11:S55)</f>
        <v>21674702982</v>
      </c>
      <c r="T56" s="191"/>
      <c r="U56" s="66">
        <f>SUM(U11:U55)</f>
        <v>0.80487779541950066</v>
      </c>
      <c r="V56" s="39"/>
      <c r="W56" s="39"/>
      <c r="X56" s="39"/>
      <c r="Y56" s="182"/>
      <c r="Z56" s="182"/>
    </row>
    <row r="57" spans="1:26" ht="25.5" customHeight="1" thickTop="1">
      <c r="D57" s="4"/>
      <c r="F57" s="4"/>
      <c r="H57" s="4"/>
      <c r="J57" s="135"/>
      <c r="L57" s="130"/>
      <c r="N57" s="4"/>
      <c r="O57" s="192"/>
      <c r="P57" s="4"/>
      <c r="Q57" s="192"/>
      <c r="R57" s="4"/>
      <c r="S57" s="192"/>
      <c r="T57" s="192"/>
      <c r="V57" s="39"/>
      <c r="X57" s="39"/>
      <c r="Y57" s="39"/>
      <c r="Z57" s="39"/>
    </row>
    <row r="58" spans="1:26" s="4" customFormat="1" ht="33.75" customHeight="1"/>
    <row r="59" spans="1:26" s="4" customFormat="1" ht="30.75"/>
    <row r="60" spans="1:26" s="4" customFormat="1" ht="30.75"/>
    <row r="61" spans="1:26" s="4" customFormat="1" ht="30.75">
      <c r="C61" s="225"/>
    </row>
    <row r="62" spans="1:26" s="4" customFormat="1" ht="30.75">
      <c r="C62" s="226"/>
      <c r="K62" s="216"/>
    </row>
    <row r="63" spans="1:26" s="4" customFormat="1" ht="30.75">
      <c r="A63" s="189"/>
      <c r="C63" s="227"/>
    </row>
    <row r="64" spans="1:26" s="4" customFormat="1" ht="30.75">
      <c r="A64" s="189"/>
      <c r="C64" s="226"/>
    </row>
    <row r="65" spans="1:3" s="4" customFormat="1" ht="30.75">
      <c r="A65" s="189"/>
      <c r="C65" s="227"/>
    </row>
    <row r="66" spans="1:3" s="4" customFormat="1" ht="30.75">
      <c r="A66" s="189"/>
      <c r="C66" s="226"/>
    </row>
    <row r="67" spans="1:3" s="4" customFormat="1" ht="30.75">
      <c r="A67" s="189"/>
      <c r="C67" s="227"/>
    </row>
    <row r="68" spans="1:3" s="4" customFormat="1" ht="30.75">
      <c r="A68" s="189"/>
      <c r="C68" s="226"/>
    </row>
    <row r="69" spans="1:3" s="4" customFormat="1" ht="30.75">
      <c r="A69" s="189"/>
      <c r="C69" s="227"/>
    </row>
    <row r="70" spans="1:3" s="4" customFormat="1" ht="30.75">
      <c r="A70" s="189"/>
      <c r="C70" s="226"/>
    </row>
    <row r="71" spans="1:3" s="4" customFormat="1" ht="30.75">
      <c r="A71" s="189"/>
      <c r="C71" s="227"/>
    </row>
    <row r="72" spans="1:3" s="4" customFormat="1" ht="30.75">
      <c r="A72" s="189"/>
      <c r="C72" s="226"/>
    </row>
    <row r="73" spans="1:3" ht="30.75">
      <c r="A73" s="189"/>
      <c r="C73" s="227"/>
    </row>
    <row r="74" spans="1:3" ht="30.75">
      <c r="A74" s="189"/>
      <c r="C74" s="226"/>
    </row>
    <row r="75" spans="1:3" ht="30.75">
      <c r="A75" s="189"/>
      <c r="C75" s="227"/>
    </row>
    <row r="76" spans="1:3" ht="30.75">
      <c r="A76" s="189"/>
      <c r="C76" s="226"/>
    </row>
    <row r="77" spans="1:3" ht="30.75">
      <c r="A77" s="189"/>
      <c r="C77" s="227"/>
    </row>
    <row r="78" spans="1:3" ht="30.75">
      <c r="A78" s="189"/>
      <c r="C78" s="226"/>
    </row>
    <row r="79" spans="1:3" ht="30.75">
      <c r="A79" s="189"/>
      <c r="C79" s="227"/>
    </row>
    <row r="80" spans="1:3" ht="30.75">
      <c r="A80" s="189"/>
      <c r="C80" s="226"/>
    </row>
    <row r="81" spans="1:3" ht="30.75">
      <c r="A81" s="189"/>
      <c r="C81" s="227"/>
    </row>
    <row r="82" spans="1:3" ht="30.75">
      <c r="A82" s="189"/>
      <c r="C82" s="226"/>
    </row>
    <row r="83" spans="1:3" ht="30.75">
      <c r="A83" s="189"/>
      <c r="C83" s="227"/>
    </row>
    <row r="84" spans="1:3" ht="30.75">
      <c r="A84" s="189"/>
      <c r="C84" s="226"/>
    </row>
    <row r="85" spans="1:3" ht="30.75">
      <c r="A85" s="189"/>
      <c r="C85" s="227"/>
    </row>
    <row r="86" spans="1:3" ht="30.75">
      <c r="A86" s="189"/>
      <c r="C86" s="226"/>
    </row>
    <row r="87" spans="1:3" ht="30.75">
      <c r="A87" s="189"/>
      <c r="C87" s="227"/>
    </row>
    <row r="88" spans="1:3" ht="30.75">
      <c r="A88" s="189"/>
      <c r="C88" s="226"/>
    </row>
    <row r="89" spans="1:3">
      <c r="C89" s="227"/>
    </row>
    <row r="90" spans="1:3">
      <c r="C90" s="226"/>
    </row>
    <row r="91" spans="1:3">
      <c r="C91" s="227"/>
    </row>
    <row r="92" spans="1:3">
      <c r="C92" s="228"/>
    </row>
    <row r="93" spans="1:3">
      <c r="C93" s="228"/>
    </row>
  </sheetData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Q25"/>
  <sheetViews>
    <sheetView rightToLeft="1" view="pageBreakPreview" zoomScale="85" zoomScaleNormal="100" zoomScaleSheetLayoutView="85" workbookViewId="0">
      <selection activeCell="A18" sqref="A18:Q26"/>
    </sheetView>
  </sheetViews>
  <sheetFormatPr defaultColWidth="9.140625" defaultRowHeight="21.75"/>
  <cols>
    <col min="1" max="1" width="39.42578125" style="55" bestFit="1" customWidth="1"/>
    <col min="2" max="2" width="0.42578125" style="55" customWidth="1"/>
    <col min="3" max="3" width="14.7109375" style="55" bestFit="1" customWidth="1"/>
    <col min="4" max="4" width="0.28515625" style="55" customWidth="1"/>
    <col min="5" max="5" width="25.140625" style="55" customWidth="1"/>
    <col min="6" max="6" width="0.28515625" style="55" customWidth="1"/>
    <col min="7" max="7" width="16" style="55" bestFit="1" customWidth="1"/>
    <col min="8" max="8" width="0.42578125" style="55" customWidth="1"/>
    <col min="9" max="9" width="25.140625" style="55" bestFit="1" customWidth="1"/>
    <col min="10" max="10" width="0.5703125" style="55" customWidth="1"/>
    <col min="11" max="11" width="14.7109375" style="55" bestFit="1" customWidth="1"/>
    <col min="12" max="12" width="0.28515625" style="55" customWidth="1"/>
    <col min="13" max="13" width="25.140625" style="55" bestFit="1" customWidth="1"/>
    <col min="14" max="14" width="0.42578125" style="55" customWidth="1"/>
    <col min="15" max="15" width="16" style="55" bestFit="1" customWidth="1"/>
    <col min="16" max="16" width="0.28515625" style="55" customWidth="1"/>
    <col min="17" max="17" width="25.140625" style="55" bestFit="1" customWidth="1"/>
    <col min="18" max="18" width="13.7109375" style="55" bestFit="1" customWidth="1"/>
    <col min="19" max="16384" width="9.140625" style="55"/>
  </cols>
  <sheetData>
    <row r="1" spans="1:17" ht="21" customHeight="1">
      <c r="A1" s="377" t="s">
        <v>83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8" customHeight="1">
      <c r="A2" s="377" t="s">
        <v>52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7" ht="19.5" customHeight="1">
      <c r="A3" s="377" t="str">
        <f>درآمدها!A3</f>
        <v>برای ماه منتهی به 1403/12/30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>
      <c r="A4" s="343" t="s">
        <v>26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</row>
    <row r="5" spans="1:17" ht="4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2.5" customHeight="1" thickBot="1">
      <c r="A6" s="175"/>
      <c r="B6" s="176"/>
      <c r="C6" s="377" t="str">
        <f>'درآمد سرمایه گذاری در سهام '!C7</f>
        <v>طی اسفند ماه</v>
      </c>
      <c r="D6" s="377"/>
      <c r="E6" s="377"/>
      <c r="F6" s="377"/>
      <c r="G6" s="377"/>
      <c r="H6" s="377"/>
      <c r="I6" s="377"/>
      <c r="J6" s="154"/>
      <c r="K6" s="380" t="str">
        <f>'درآمد سرمایه گذاری در سهام '!M7</f>
        <v>از ابتدای سال مالی تا پایان اسفند ماه</v>
      </c>
      <c r="L6" s="380"/>
      <c r="M6" s="380"/>
      <c r="N6" s="380"/>
      <c r="O6" s="380"/>
      <c r="P6" s="380"/>
      <c r="Q6" s="380"/>
    </row>
    <row r="7" spans="1:17" ht="15.75" customHeight="1">
      <c r="A7" s="382"/>
      <c r="B7" s="383"/>
      <c r="C7" s="378" t="s">
        <v>12</v>
      </c>
      <c r="D7" s="378"/>
      <c r="E7" s="378" t="s">
        <v>10</v>
      </c>
      <c r="F7" s="347"/>
      <c r="G7" s="378" t="s">
        <v>11</v>
      </c>
      <c r="H7" s="382"/>
      <c r="I7" s="378" t="s">
        <v>2</v>
      </c>
      <c r="J7" s="177"/>
      <c r="K7" s="378" t="s">
        <v>12</v>
      </c>
      <c r="L7" s="378"/>
      <c r="M7" s="378" t="s">
        <v>10</v>
      </c>
      <c r="N7" s="347"/>
      <c r="O7" s="378" t="s">
        <v>11</v>
      </c>
      <c r="P7" s="382"/>
      <c r="Q7" s="378" t="s">
        <v>2</v>
      </c>
    </row>
    <row r="8" spans="1:17" ht="12" customHeight="1">
      <c r="A8" s="383"/>
      <c r="B8" s="383"/>
      <c r="C8" s="379"/>
      <c r="D8" s="379"/>
      <c r="E8" s="379"/>
      <c r="F8" s="381"/>
      <c r="G8" s="379"/>
      <c r="H8" s="383"/>
      <c r="I8" s="379"/>
      <c r="J8" s="177"/>
      <c r="K8" s="379"/>
      <c r="L8" s="379"/>
      <c r="M8" s="379"/>
      <c r="N8" s="381"/>
      <c r="O8" s="379"/>
      <c r="P8" s="383"/>
      <c r="Q8" s="379"/>
    </row>
    <row r="9" spans="1:17" ht="14.25" customHeight="1" thickBot="1">
      <c r="A9" s="383"/>
      <c r="B9" s="383"/>
      <c r="C9" s="178" t="s">
        <v>60</v>
      </c>
      <c r="D9" s="379"/>
      <c r="E9" s="178" t="s">
        <v>57</v>
      </c>
      <c r="F9" s="381"/>
      <c r="G9" s="178" t="s">
        <v>58</v>
      </c>
      <c r="H9" s="383"/>
      <c r="I9" s="384"/>
      <c r="J9" s="179"/>
      <c r="K9" s="178" t="s">
        <v>60</v>
      </c>
      <c r="L9" s="379"/>
      <c r="M9" s="178" t="s">
        <v>57</v>
      </c>
      <c r="N9" s="381"/>
      <c r="O9" s="178" t="s">
        <v>58</v>
      </c>
      <c r="P9" s="383"/>
      <c r="Q9" s="384"/>
    </row>
    <row r="10" spans="1:17" ht="21" customHeight="1">
      <c r="A10" s="157" t="s">
        <v>99</v>
      </c>
      <c r="B10" s="1"/>
      <c r="C10" s="31">
        <f>IFERROR(VLOOKUP(A10,'سود اوراق بهادار'!$A$8:$R$50,12,0),0)</f>
        <v>0</v>
      </c>
      <c r="D10" s="15"/>
      <c r="E10" s="31">
        <f>IFERROR(VLOOKUP(A10,'درآمد ناشی از تغییر قیمت  '!$A$7:$Q$83,9,0),0)</f>
        <v>0</v>
      </c>
      <c r="F10" s="15"/>
      <c r="G10" s="31">
        <f>IFERROR(VLOOKUP(A10,'درآمد ناشی ازفروش'!$A$7:$I$106,9,0),0)</f>
        <v>105480878</v>
      </c>
      <c r="H10" s="15"/>
      <c r="I10" s="31">
        <f>C10+E10+G10</f>
        <v>105480878</v>
      </c>
      <c r="J10" s="15"/>
      <c r="K10" s="31">
        <f>IFERROR(VLOOKUP(A10,'سود اوراق بهادار'!$A$8:$R$50,18,0),0)</f>
        <v>0</v>
      </c>
      <c r="L10" s="15"/>
      <c r="M10" s="31">
        <f>IFERROR(VLOOKUP(A10,'درآمد ناشی از تغییر قیمت  '!$A$7:$Q$83,17,0),0)</f>
        <v>0</v>
      </c>
      <c r="N10" s="15"/>
      <c r="O10" s="31">
        <f>IFERROR(VLOOKUP(A10,'درآمد ناشی ازفروش'!$A$7:$Q$106,17,0),0)</f>
        <v>948661776</v>
      </c>
      <c r="P10" s="15"/>
      <c r="Q10" s="31">
        <f>K10+M10+O10</f>
        <v>948661776</v>
      </c>
    </row>
    <row r="11" spans="1:17" ht="21" customHeight="1">
      <c r="A11" s="157" t="s">
        <v>100</v>
      </c>
      <c r="B11" s="1"/>
      <c r="C11" s="31">
        <f>IFERROR(VLOOKUP(A11,'سود اوراق بهادار'!$A$8:$R$50,12,0),0)</f>
        <v>0</v>
      </c>
      <c r="D11" s="15"/>
      <c r="E11" s="31">
        <f>IFERROR(VLOOKUP(A11,'درآمد ناشی از تغییر قیمت  '!$A$7:$Q$83,9,0),0)</f>
        <v>0</v>
      </c>
      <c r="F11" s="15"/>
      <c r="G11" s="31">
        <f>IFERROR(VLOOKUP(A11,'درآمد ناشی ازفروش'!$A$7:$I$106,9,0),0)</f>
        <v>21708947</v>
      </c>
      <c r="H11" s="15"/>
      <c r="I11" s="31">
        <f t="shared" ref="I11:I15" si="0">C11+E11+G11</f>
        <v>21708947</v>
      </c>
      <c r="J11" s="15"/>
      <c r="K11" s="31">
        <f>IFERROR(VLOOKUP(A11,'سود اوراق بهادار'!$A$8:$R$50,18,0),0)</f>
        <v>0</v>
      </c>
      <c r="L11" s="15"/>
      <c r="M11" s="31">
        <f>IFERROR(VLOOKUP(A11,'درآمد ناشی از تغییر قیمت  '!$A$7:$Q$83,17,0),0)</f>
        <v>0</v>
      </c>
      <c r="N11" s="15"/>
      <c r="O11" s="31">
        <f>IFERROR(VLOOKUP(A11,'درآمد ناشی ازفروش'!$A$7:$Q$106,17,0),0)</f>
        <v>611478814</v>
      </c>
      <c r="P11" s="15"/>
      <c r="Q11" s="31">
        <f t="shared" ref="Q11:Q15" si="1">K11+M11+O11</f>
        <v>611478814</v>
      </c>
    </row>
    <row r="12" spans="1:17" ht="21" customHeight="1">
      <c r="A12" s="157" t="s">
        <v>110</v>
      </c>
      <c r="B12" s="1"/>
      <c r="C12" s="31">
        <f>IFERROR(VLOOKUP(A12,'سود اوراق بهادار'!$A$8:$R$50,12,0),0)</f>
        <v>0</v>
      </c>
      <c r="D12" s="15"/>
      <c r="E12" s="31">
        <f>IFERROR(VLOOKUP(A12,'درآمد ناشی از تغییر قیمت  '!$A$7:$Q$83,9,0),0)</f>
        <v>0</v>
      </c>
      <c r="F12" s="15"/>
      <c r="G12" s="31">
        <f>IFERROR(VLOOKUP(A12,'درآمد ناشی ازفروش'!$A$7:$I$106,9,0),0)</f>
        <v>64182365</v>
      </c>
      <c r="H12" s="15"/>
      <c r="I12" s="31">
        <f t="shared" si="0"/>
        <v>64182365</v>
      </c>
      <c r="J12" s="15"/>
      <c r="K12" s="31">
        <f>IFERROR(VLOOKUP(A12,'سود اوراق بهادار'!$A$8:$R$50,18,0),0)</f>
        <v>0</v>
      </c>
      <c r="L12" s="15"/>
      <c r="M12" s="31">
        <f>IFERROR(VLOOKUP(A12,'درآمد ناشی از تغییر قیمت  '!$A$7:$Q$83,17,0),0)</f>
        <v>0</v>
      </c>
      <c r="N12" s="15"/>
      <c r="O12" s="31">
        <f>IFERROR(VLOOKUP(A12,'درآمد ناشی ازفروش'!$A$7:$Q$106,17,0),0)</f>
        <v>547538975</v>
      </c>
      <c r="P12" s="15"/>
      <c r="Q12" s="31">
        <f t="shared" si="1"/>
        <v>547538975</v>
      </c>
    </row>
    <row r="13" spans="1:17" ht="21" customHeight="1">
      <c r="A13" s="157" t="s">
        <v>152</v>
      </c>
      <c r="B13" s="1"/>
      <c r="C13" s="31">
        <f>IFERROR(VLOOKUP(A13,'سود اوراق بهادار'!$A$8:$R$50,12,0),0)</f>
        <v>0</v>
      </c>
      <c r="D13" s="15"/>
      <c r="E13" s="31">
        <f>IFERROR(VLOOKUP(A13,'درآمد ناشی از تغییر قیمت  '!$A$7:$Q$83,9,0),0)</f>
        <v>0</v>
      </c>
      <c r="F13" s="15"/>
      <c r="G13" s="31">
        <f>IFERROR(VLOOKUP(A13,'درآمد ناشی ازفروش'!$A$7:$I$106,9,0),0)</f>
        <v>-18321586</v>
      </c>
      <c r="H13" s="15"/>
      <c r="I13" s="31">
        <f t="shared" si="0"/>
        <v>-18321586</v>
      </c>
      <c r="J13" s="15"/>
      <c r="K13" s="31">
        <f>IFERROR(VLOOKUP(A13,'سود اوراق بهادار'!$A$8:$R$50,18,0),0)</f>
        <v>0</v>
      </c>
      <c r="L13" s="15"/>
      <c r="M13" s="31">
        <f>IFERROR(VLOOKUP(A13,'درآمد ناشی از تغییر قیمت  '!$A$7:$Q$83,17,0),0)</f>
        <v>0</v>
      </c>
      <c r="N13" s="15"/>
      <c r="O13" s="31">
        <f>IFERROR(VLOOKUP(A13,'درآمد ناشی ازفروش'!$A$7:$Q$106,17,0),0)</f>
        <v>-18321586</v>
      </c>
      <c r="P13" s="15"/>
      <c r="Q13" s="31">
        <f t="shared" si="1"/>
        <v>-18321586</v>
      </c>
    </row>
    <row r="14" spans="1:17" ht="21" customHeight="1">
      <c r="A14" s="157" t="s">
        <v>149</v>
      </c>
      <c r="B14" s="1"/>
      <c r="C14" s="31">
        <f>IFERROR(VLOOKUP(A14,'سود اوراق بهادار'!$A$8:$R$50,12,0),0)</f>
        <v>0</v>
      </c>
      <c r="D14" s="15"/>
      <c r="E14" s="31">
        <f>IFERROR(VLOOKUP(A14,'درآمد ناشی از تغییر قیمت  '!$A$7:$Q$83,9,0),0)</f>
        <v>0</v>
      </c>
      <c r="F14" s="15"/>
      <c r="G14" s="31">
        <f>IFERROR(VLOOKUP(A14,'درآمد ناشی ازفروش'!$A$7:$I$106,9,0),0)</f>
        <v>8023478</v>
      </c>
      <c r="H14" s="15"/>
      <c r="I14" s="31">
        <f t="shared" si="0"/>
        <v>8023478</v>
      </c>
      <c r="J14" s="15"/>
      <c r="K14" s="31">
        <f>IFERROR(VLOOKUP(A14,'سود اوراق بهادار'!$A$8:$R$50,18,0),0)</f>
        <v>0</v>
      </c>
      <c r="L14" s="15"/>
      <c r="M14" s="31">
        <f>IFERROR(VLOOKUP(A14,'درآمد ناشی از تغییر قیمت  '!$A$7:$Q$83,17,0),0)</f>
        <v>0</v>
      </c>
      <c r="N14" s="15"/>
      <c r="O14" s="31">
        <f>IFERROR(VLOOKUP(A14,'درآمد ناشی ازفروش'!$A$7:$Q$106,17,0),0)</f>
        <v>8023478</v>
      </c>
      <c r="P14" s="15"/>
      <c r="Q14" s="31">
        <f t="shared" si="1"/>
        <v>8023478</v>
      </c>
    </row>
    <row r="15" spans="1:17" ht="21" customHeight="1">
      <c r="A15" s="157" t="s">
        <v>154</v>
      </c>
      <c r="B15" s="1"/>
      <c r="C15" s="31">
        <f>IFERROR(VLOOKUP(A15,'سود اوراق بهادار'!$A$8:$R$50,12,0),0)</f>
        <v>404568132</v>
      </c>
      <c r="D15" s="15"/>
      <c r="E15" s="31">
        <f>IFERROR(VLOOKUP(A15,'درآمد ناشی از تغییر قیمت  '!$A$7:$Q$83,9,0),0)</f>
        <v>-408990000</v>
      </c>
      <c r="F15" s="15"/>
      <c r="G15" s="31">
        <f>IFERROR(VLOOKUP(A15,'درآمد ناشی ازفروش'!$A$7:$I$106,9,0),0)</f>
        <v>0</v>
      </c>
      <c r="H15" s="15"/>
      <c r="I15" s="31">
        <f t="shared" si="0"/>
        <v>-4421868</v>
      </c>
      <c r="J15" s="15"/>
      <c r="K15" s="31">
        <v>404568132</v>
      </c>
      <c r="L15" s="15"/>
      <c r="M15" s="31">
        <f>IFERROR(VLOOKUP(A15,'درآمد ناشی از تغییر قیمت  '!$A$7:$Q$83,17,0),0)</f>
        <v>-408990000</v>
      </c>
      <c r="N15" s="15"/>
      <c r="O15" s="31">
        <f>IFERROR(VLOOKUP(A15,'درآمد ناشی ازفروش'!$A$7:$Q$106,17,0),0)</f>
        <v>0</v>
      </c>
      <c r="P15" s="15"/>
      <c r="Q15" s="31">
        <f t="shared" si="1"/>
        <v>-4421868</v>
      </c>
    </row>
    <row r="16" spans="1:17" ht="21" customHeight="1" thickBot="1">
      <c r="A16" s="180" t="s">
        <v>2</v>
      </c>
      <c r="B16" s="181"/>
      <c r="C16" s="71">
        <f>SUM(C10:C15)</f>
        <v>404568132</v>
      </c>
      <c r="D16" s="68"/>
      <c r="E16" s="71">
        <f>SUM(E10:E15)</f>
        <v>-408990000</v>
      </c>
      <c r="F16" s="68"/>
      <c r="G16" s="71">
        <f>SUM(G10:G15)</f>
        <v>181074082</v>
      </c>
      <c r="H16" s="68"/>
      <c r="I16" s="71">
        <f>SUM(I10:I15)</f>
        <v>176652214</v>
      </c>
      <c r="J16" s="68"/>
      <c r="K16" s="71">
        <f>SUM(K10:K15)</f>
        <v>404568132</v>
      </c>
      <c r="L16" s="68"/>
      <c r="M16" s="71">
        <f>SUM(M10:M15)</f>
        <v>-408990000</v>
      </c>
      <c r="N16" s="68"/>
      <c r="O16" s="71">
        <f>SUM(O10:O15)</f>
        <v>2097381457</v>
      </c>
      <c r="P16" s="68"/>
      <c r="Q16" s="71">
        <f>SUM(Q10:Q15)</f>
        <v>2092959589</v>
      </c>
    </row>
    <row r="17" spans="1:17" ht="22.5" thickTop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9" spans="1:17" ht="24">
      <c r="C19" s="31"/>
      <c r="D19" s="31"/>
      <c r="E19" s="31"/>
      <c r="F19" s="31"/>
      <c r="G19" s="31"/>
      <c r="H19" s="31"/>
      <c r="I19" s="31"/>
      <c r="K19" s="31"/>
      <c r="L19" s="31"/>
      <c r="M19" s="31"/>
      <c r="N19" s="31"/>
      <c r="O19" s="31"/>
      <c r="P19" s="31"/>
      <c r="Q19" s="31"/>
    </row>
    <row r="20" spans="1:17" ht="24">
      <c r="C20" s="31"/>
      <c r="D20" s="31"/>
      <c r="E20" s="31"/>
      <c r="F20" s="31"/>
      <c r="G20" s="31"/>
      <c r="H20" s="31"/>
      <c r="I20" s="31"/>
      <c r="K20" s="31"/>
      <c r="L20" s="31"/>
      <c r="M20" s="31"/>
      <c r="N20" s="31"/>
      <c r="O20" s="31"/>
      <c r="P20" s="31"/>
      <c r="Q20" s="31"/>
    </row>
    <row r="23" spans="1:17">
      <c r="G23" s="164"/>
    </row>
    <row r="24" spans="1:17">
      <c r="G24" s="164"/>
    </row>
    <row r="25" spans="1:17">
      <c r="G25" s="164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B4C3-D992-4684-BD7D-788906365103}">
  <sheetPr>
    <pageSetUpPr fitToPage="1"/>
  </sheetPr>
  <dimension ref="A1:AB40"/>
  <sheetViews>
    <sheetView rightToLeft="1" view="pageBreakPreview" topLeftCell="A10" zoomScaleNormal="100" zoomScaleSheetLayoutView="100" workbookViewId="0">
      <selection activeCell="C14" sqref="C14:G14"/>
    </sheetView>
  </sheetViews>
  <sheetFormatPr defaultColWidth="9.140625" defaultRowHeight="21.75"/>
  <cols>
    <col min="1" max="1" width="35.85546875" style="55" bestFit="1" customWidth="1"/>
    <col min="2" max="2" width="0.7109375" style="55" customWidth="1"/>
    <col min="3" max="3" width="18.42578125" style="43" customWidth="1"/>
    <col min="4" max="4" width="1.42578125" style="43" customWidth="1"/>
    <col min="5" max="5" width="16.85546875" style="43" customWidth="1"/>
    <col min="6" max="6" width="1.42578125" style="43" customWidth="1"/>
    <col min="7" max="7" width="18" style="43" customWidth="1"/>
    <col min="8" max="8" width="1.28515625" style="55" customWidth="1"/>
    <col min="9" max="9" width="16.42578125" style="55" customWidth="1"/>
    <col min="10" max="10" width="0.7109375" style="55" customWidth="1"/>
    <col min="11" max="11" width="15.42578125" style="55" bestFit="1" customWidth="1"/>
    <col min="12" max="16384" width="9.140625" style="55"/>
  </cols>
  <sheetData>
    <row r="1" spans="1:11" ht="22.5">
      <c r="A1" s="377" t="s">
        <v>83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1" ht="22.5">
      <c r="A2" s="377" t="s">
        <v>52</v>
      </c>
      <c r="B2" s="377"/>
      <c r="C2" s="377"/>
      <c r="D2" s="377"/>
      <c r="E2" s="377"/>
      <c r="F2" s="377"/>
      <c r="G2" s="377"/>
      <c r="H2" s="377"/>
      <c r="I2" s="377"/>
      <c r="J2" s="377"/>
    </row>
    <row r="3" spans="1:11" ht="22.5">
      <c r="A3" s="377" t="str">
        <f>'[1] سهام'!A3:W3</f>
        <v>برای ماه منتهی به 1403/12/30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1">
      <c r="A4" s="343" t="s">
        <v>27</v>
      </c>
      <c r="B4" s="343"/>
      <c r="C4" s="343"/>
      <c r="D4" s="343"/>
      <c r="E4" s="343"/>
      <c r="F4" s="343"/>
      <c r="G4" s="343"/>
      <c r="H4" s="343"/>
      <c r="I4" s="343"/>
      <c r="J4" s="343"/>
    </row>
    <row r="5" spans="1:11" ht="22.5" thickBot="1">
      <c r="A5" s="152"/>
      <c r="B5" s="152"/>
      <c r="C5" s="10"/>
      <c r="D5" s="10"/>
      <c r="E5" s="10"/>
      <c r="F5" s="10"/>
      <c r="G5" s="10"/>
      <c r="H5" s="152"/>
      <c r="I5" s="152"/>
      <c r="J5" s="152"/>
    </row>
    <row r="6" spans="1:11" ht="37.5" customHeight="1" thickBot="1">
      <c r="A6" s="385" t="s">
        <v>17</v>
      </c>
      <c r="B6" s="385"/>
      <c r="C6" s="386" t="str">
        <f>'[1]درآمد سرمایه گذاری در سهام '!C7</f>
        <v>طی اسفند ماه</v>
      </c>
      <c r="D6" s="386"/>
      <c r="E6" s="386"/>
      <c r="F6" s="386"/>
      <c r="G6" s="385" t="str">
        <f>'[1]درآمد سرمایه گذاری در سهام '!M7</f>
        <v>از ابتدای سال مالی تا پایان اسفند ماه</v>
      </c>
      <c r="H6" s="385"/>
      <c r="I6" s="385"/>
      <c r="J6" s="385"/>
    </row>
    <row r="7" spans="1:11" ht="37.5">
      <c r="A7" s="194" t="s">
        <v>13</v>
      </c>
      <c r="B7" s="280"/>
      <c r="C7" s="40" t="s">
        <v>14</v>
      </c>
      <c r="D7" s="41"/>
      <c r="E7" s="40" t="s">
        <v>15</v>
      </c>
      <c r="F7" s="42"/>
      <c r="G7" s="40" t="s">
        <v>14</v>
      </c>
      <c r="H7" s="280"/>
      <c r="I7" s="194" t="s">
        <v>15</v>
      </c>
      <c r="J7" s="280"/>
    </row>
    <row r="8" spans="1:11" ht="33" customHeight="1">
      <c r="A8" s="195" t="s">
        <v>137</v>
      </c>
      <c r="B8" s="1"/>
      <c r="C8" s="11">
        <f>VLOOKUP(A8,'[1]سود سپرده بانکی'!$A$8:$L$20,6,0)</f>
        <v>2648268</v>
      </c>
      <c r="D8" s="1"/>
      <c r="E8" s="196">
        <f>C8/$C$14</f>
        <v>3.7095419524029354E-3</v>
      </c>
      <c r="F8" s="1"/>
      <c r="G8" s="11">
        <f>VLOOKUP(A8,'[1]سود سپرده بانکی'!$A$8:$L$20,12,0)</f>
        <v>104186065</v>
      </c>
      <c r="H8" s="1"/>
      <c r="I8" s="196">
        <f>G8/$G$14</f>
        <v>4.3670545916864624E-2</v>
      </c>
      <c r="J8" s="280"/>
      <c r="K8" s="172"/>
    </row>
    <row r="9" spans="1:11" ht="27" customHeight="1">
      <c r="A9" s="195" t="s">
        <v>90</v>
      </c>
      <c r="B9" s="1"/>
      <c r="C9" s="11">
        <f>VLOOKUP(A9,'[1]سود سپرده بانکی'!$A$8:$L$20,6,0)</f>
        <v>5756</v>
      </c>
      <c r="D9" s="1"/>
      <c r="E9" s="196">
        <f t="shared" ref="E9:E13" si="0">C9/$C$14</f>
        <v>8.0626747285513767E-6</v>
      </c>
      <c r="F9" s="1"/>
      <c r="G9" s="11">
        <f>VLOOKUP(A9,'[1]سود سپرده بانکی'!$A$8:$L$20,12,0)</f>
        <v>253205</v>
      </c>
      <c r="H9" s="1"/>
      <c r="I9" s="196">
        <f t="shared" ref="I9:I13" si="1">G9/$G$14</f>
        <v>1.0613320100802066E-4</v>
      </c>
      <c r="J9" s="280"/>
      <c r="K9" s="172"/>
    </row>
    <row r="10" spans="1:11" ht="27" customHeight="1">
      <c r="A10" s="195" t="s">
        <v>123</v>
      </c>
      <c r="B10" s="1"/>
      <c r="C10" s="11">
        <f>VLOOKUP(A10,'[1]سود سپرده بانکی'!$A$8:$L$20,6,0)</f>
        <v>1873983</v>
      </c>
      <c r="D10" s="1"/>
      <c r="E10" s="196">
        <f t="shared" si="0"/>
        <v>2.6249679249191961E-3</v>
      </c>
      <c r="F10" s="1"/>
      <c r="G10" s="11">
        <f>VLOOKUP(A10,'[1]سود سپرده بانکی'!$A$8:$L$20,12,0)</f>
        <v>24361651</v>
      </c>
      <c r="H10" s="1"/>
      <c r="I10" s="196">
        <f t="shared" si="1"/>
        <v>1.0211409737051983E-2</v>
      </c>
      <c r="J10" s="280"/>
      <c r="K10" s="172"/>
    </row>
    <row r="11" spans="1:11" ht="27" customHeight="1">
      <c r="A11" s="195" t="s">
        <v>157</v>
      </c>
      <c r="B11" s="1"/>
      <c r="C11" s="11">
        <f>VLOOKUP(A11,'[1]سود سپرده بانکی'!$A$8:$L$20,6,0)</f>
        <v>156133002</v>
      </c>
      <c r="D11" s="1"/>
      <c r="E11" s="196">
        <f t="shared" si="0"/>
        <v>0.21870215592742556</v>
      </c>
      <c r="F11" s="1"/>
      <c r="G11" s="11">
        <f>VLOOKUP(A11,'[1]سود سپرده بانکی'!$A$8:$L$20,12,0)</f>
        <v>156133002</v>
      </c>
      <c r="H11" s="1"/>
      <c r="I11" s="196">
        <f t="shared" si="1"/>
        <v>6.5444581604832811E-2</v>
      </c>
      <c r="J11" s="280"/>
      <c r="K11" s="172"/>
    </row>
    <row r="12" spans="1:11" ht="27" customHeight="1">
      <c r="A12" s="195" t="s">
        <v>139</v>
      </c>
      <c r="B12" s="1"/>
      <c r="C12" s="11">
        <f>VLOOKUP(A12,'[1]سود سپرده بانکی'!$A$8:$L$20,6,0)</f>
        <v>2426318</v>
      </c>
      <c r="D12" s="1"/>
      <c r="E12" s="196">
        <f t="shared" si="0"/>
        <v>3.3986471198800068E-3</v>
      </c>
      <c r="F12" s="1"/>
      <c r="G12" s="11">
        <f>VLOOKUP(A12,'[1]سود سپرده بانکی'!$A$8:$L$20,12,0)</f>
        <v>2433900</v>
      </c>
      <c r="H12" s="1"/>
      <c r="I12" s="196">
        <f t="shared" si="1"/>
        <v>1.0201915362391006E-3</v>
      </c>
      <c r="J12" s="280"/>
      <c r="K12" s="172"/>
    </row>
    <row r="13" spans="1:11" ht="27" customHeight="1">
      <c r="A13" s="195" t="s">
        <v>140</v>
      </c>
      <c r="B13" s="1"/>
      <c r="C13" s="11">
        <f>VLOOKUP(A13,'[1]سود سپرده بانکی'!$A$8:$L$20,6,0)</f>
        <v>550819682</v>
      </c>
      <c r="D13" s="1"/>
      <c r="E13" s="196">
        <f t="shared" si="0"/>
        <v>0.77155662440064376</v>
      </c>
      <c r="F13" s="1"/>
      <c r="G13" s="11">
        <f>VLOOKUP(A13,'[1]سود سپرده بانکی'!$A$8:$L$20,12,0)</f>
        <v>2098360654</v>
      </c>
      <c r="H13" s="1"/>
      <c r="I13" s="196">
        <f t="shared" si="1"/>
        <v>0.87954713800400341</v>
      </c>
      <c r="J13" s="280"/>
      <c r="K13" s="172"/>
    </row>
    <row r="14" spans="1:11" ht="22.5" thickBot="1">
      <c r="A14" s="180" t="s">
        <v>2</v>
      </c>
      <c r="B14" s="181"/>
      <c r="C14" s="305">
        <f>SUM(C8:C13)</f>
        <v>713907009</v>
      </c>
      <c r="D14" s="208"/>
      <c r="E14" s="287">
        <f>SUM(E8:E13)</f>
        <v>1</v>
      </c>
      <c r="F14" s="208"/>
      <c r="G14" s="305">
        <f>SUM(G8:G13)</f>
        <v>2385728477</v>
      </c>
      <c r="H14" s="1"/>
      <c r="I14" s="287">
        <f>SUM(I8:I13)</f>
        <v>1</v>
      </c>
      <c r="J14" s="280"/>
    </row>
    <row r="15" spans="1:11" ht="22.5" thickTop="1">
      <c r="D15" s="1"/>
      <c r="F15" s="1"/>
      <c r="H15" s="1"/>
    </row>
    <row r="17" spans="3:7">
      <c r="C17" s="21"/>
      <c r="G17" s="21"/>
    </row>
    <row r="18" spans="3:7">
      <c r="C18" s="21"/>
      <c r="G18" s="21"/>
    </row>
    <row r="20" spans="3:7" ht="24">
      <c r="E20" s="69"/>
    </row>
    <row r="40" spans="20:28" ht="37.5">
      <c r="T40" s="195" t="s">
        <v>137</v>
      </c>
      <c r="U40" s="1"/>
      <c r="V40" s="11">
        <f>VLOOKUP(T40,'[1]سود سپرده بانکی'!$A$8:$L$20,6,0)</f>
        <v>2648268</v>
      </c>
      <c r="W40" s="1"/>
      <c r="X40" s="196">
        <f>V40/$C$14</f>
        <v>3.7095419524029354E-3</v>
      </c>
      <c r="Y40" s="1"/>
      <c r="Z40" s="11">
        <f>VLOOKUP(T40,'[1]سود سپرده بانکی'!$A$8:$L$20,12,0)</f>
        <v>104186065</v>
      </c>
      <c r="AA40" s="1"/>
      <c r="AB40" s="196">
        <f>Z40/$G$14</f>
        <v>4.3670545916864624E-2</v>
      </c>
    </row>
  </sheetData>
  <autoFilter ref="A7:J7" xr:uid="{00000000-0009-0000-0000-00000B000000}">
    <sortState xmlns:xlrd2="http://schemas.microsoft.com/office/spreadsheetml/2017/richdata2" ref="A8:J15">
      <sortCondition descending="1" ref="G7"/>
    </sortState>
  </autoFilter>
  <mergeCells count="7">
    <mergeCell ref="A1:J1"/>
    <mergeCell ref="A2:J2"/>
    <mergeCell ref="A3:J3"/>
    <mergeCell ref="A4:J4"/>
    <mergeCell ref="A6:B6"/>
    <mergeCell ref="C6:F6"/>
    <mergeCell ref="G6: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روکش</vt:lpstr>
      <vt:lpstr> سهام </vt:lpstr>
      <vt:lpstr>اوراق </vt:lpstr>
      <vt:lpstr>تعدیل اوراق 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 </vt:lpstr>
      <vt:lpstr>' سهام '!Print_Area</vt:lpstr>
      <vt:lpstr>'اوراق '!Print_Area</vt:lpstr>
      <vt:lpstr>'تعدیل اوراق 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 سهام 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Mania GhadirPanah</cp:lastModifiedBy>
  <cp:lastPrinted>2023-10-25T16:54:14Z</cp:lastPrinted>
  <dcterms:created xsi:type="dcterms:W3CDTF">2017-11-22T14:26:20Z</dcterms:created>
  <dcterms:modified xsi:type="dcterms:W3CDTF">2025-03-30T06:28:09Z</dcterms:modified>
</cp:coreProperties>
</file>