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Z:\fund\8 صندوق با تضمین کیان\گزارش ماهانه\1403\10- دی\"/>
    </mc:Choice>
  </mc:AlternateContent>
  <xr:revisionPtr revIDLastSave="0" documentId="13_ncr:1_{AEAE4AF4-5299-4B94-9F2F-BA38467E975D}" xr6:coauthVersionLast="47" xr6:coauthVersionMax="47" xr10:uidLastSave="{00000000-0000-0000-0000-000000000000}"/>
  <bookViews>
    <workbookView xWindow="-120" yWindow="-120" windowWidth="29040" windowHeight="15840" tabRatio="717" xr2:uid="{00000000-000D-0000-FFFF-FFFF00000000}"/>
  </bookViews>
  <sheets>
    <sheet name="روکش" sheetId="16" r:id="rId1"/>
    <sheet name=" سهام" sheetId="1" r:id="rId2"/>
    <sheet name="اوراق" sheetId="17" r:id="rId3"/>
    <sheet name="تعدیل اوراق" sheetId="20" r:id="rId4"/>
    <sheet name="سپرده" sheetId="2" r:id="rId5"/>
    <sheet name="درآمدها" sheetId="11" r:id="rId6"/>
    <sheet name="درآمد سرمایه گذاری در سهام " sheetId="5" r:id="rId7"/>
    <sheet name="درآمد سرمایه گذاری در اوراق بها" sheetId="6" r:id="rId8"/>
    <sheet name="درآمد سپرده بانکی" sheetId="7" r:id="rId9"/>
    <sheet name="سایر درآمدها" sheetId="8" r:id="rId10"/>
    <sheet name="درآمد سود سهام" sheetId="18" r:id="rId11"/>
    <sheet name="سود اوراق بهادار" sheetId="13" r:id="rId12"/>
    <sheet name="سود سپرده بانکی" sheetId="21" r:id="rId13"/>
    <sheet name="درآمد ناشی ازفروش" sheetId="15" r:id="rId14"/>
    <sheet name="درآمد ناشی از تغییر قیمت  " sheetId="14" r:id="rId15"/>
  </sheets>
  <definedNames>
    <definedName name="_xlnm._FilterDatabase" localSheetId="1" hidden="1">' سهام'!$A$9:$W$9</definedName>
    <definedName name="_xlnm._FilterDatabase" localSheetId="3" hidden="1">'تعدیل اوراق'!$A$9:$M$9</definedName>
    <definedName name="_xlnm._FilterDatabase" localSheetId="8" hidden="1">'درآمد سپرده بانکی'!$A$7:$J$7</definedName>
    <definedName name="_xlnm._FilterDatabase" localSheetId="7" hidden="1">'درآمد سرمایه گذاری در اوراق بها'!$A$9:$Q$9</definedName>
    <definedName name="_xlnm._FilterDatabase" localSheetId="6" hidden="1">'درآمد سرمایه گذاری در سهام '!#REF!</definedName>
    <definedName name="_xlnm._FilterDatabase" localSheetId="14" hidden="1">'درآمد ناشی از تغییر قیمت  '!$A$6:$Q$6</definedName>
    <definedName name="_xlnm._FilterDatabase" localSheetId="13" hidden="1">'درآمد ناشی ازفروش'!$A$6:$Q$6</definedName>
    <definedName name="_xlnm._FilterDatabase" localSheetId="4" hidden="1">سپرده!$A$8:$K$8</definedName>
    <definedName name="_xlnm._FilterDatabase" localSheetId="11" hidden="1">'سود اوراق بهادار'!$A$6:$R$6</definedName>
    <definedName name="_xlnm._FilterDatabase" localSheetId="12" hidden="1">'سود سپرده بانکی'!$A$6:$L$6</definedName>
    <definedName name="a">#REF!</definedName>
    <definedName name="bb">#REF!</definedName>
    <definedName name="_xlnm.Print_Area" localSheetId="1">' سهام'!$A$1:$W$31</definedName>
    <definedName name="_xlnm.Print_Area" localSheetId="2">اوراق!$A$1:$AG$13</definedName>
    <definedName name="_xlnm.Print_Area" localSheetId="3">'تعدیل اوراق'!$A$1:$M$11</definedName>
    <definedName name="_xlnm.Print_Area" localSheetId="8">'درآمد سپرده بانکی'!$A$1:$J$12</definedName>
    <definedName name="_xlnm.Print_Area" localSheetId="7">'درآمد سرمایه گذاری در اوراق بها'!$A$1:$Q$14</definedName>
    <definedName name="_xlnm.Print_Area" localSheetId="6">'درآمد سرمایه گذاری در سهام '!$A$1:$U$40</definedName>
    <definedName name="_xlnm.Print_Area" localSheetId="10">'درآمد سود سهام'!$A$1:$S$10</definedName>
    <definedName name="_xlnm.Print_Area" localSheetId="14">'درآمد ناشی از تغییر قیمت  '!$A$1:$Q$36</definedName>
    <definedName name="_xlnm.Print_Area" localSheetId="13">'درآمد ناشی ازفروش'!$A$1:$Q$40</definedName>
    <definedName name="_xlnm.Print_Area" localSheetId="5">درآمدها!$A$1:$I$13</definedName>
    <definedName name="_xlnm.Print_Area" localSheetId="0">روکش!$A$1:$J$36</definedName>
    <definedName name="_xlnm.Print_Area" localSheetId="9">'سایر درآمدها'!$A$1:$E$11</definedName>
    <definedName name="_xlnm.Print_Area" localSheetId="4">سپرده!$A$1:$K$16</definedName>
    <definedName name="_xlnm.Print_Area" localSheetId="11">'سود اوراق بهادار'!$A$1:$R$12</definedName>
    <definedName name="_xlnm.Print_Area" localSheetId="12">'سود سپرده بانکی'!$A$1:$L$13</definedName>
    <definedName name="_xlnm.Print_Titles" localSheetId="1">' سهام'!$7:$9</definedName>
    <definedName name="_xlnm.Print_Titles" localSheetId="6">'درآمد سرمایه گذاری در سهام '!$7:$10</definedName>
    <definedName name="_xlnm.Print_Titles" localSheetId="14">'درآمد ناشی از تغییر قیمت  '!$5:$6</definedName>
    <definedName name="_xlnm.Print_Titles" localSheetId="13">'درآمد ناشی ازفروش'!$5:$6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8" l="1"/>
  <c r="N6" i="13"/>
  <c r="K9" i="2" l="1"/>
  <c r="AG12" i="17"/>
  <c r="W3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10" i="1"/>
  <c r="E11" i="11"/>
  <c r="L9" i="21"/>
  <c r="F9" i="21"/>
  <c r="H11" i="21"/>
  <c r="I10" i="2"/>
  <c r="I14" i="2" s="1"/>
  <c r="I11" i="2"/>
  <c r="I12" i="2"/>
  <c r="I13" i="2"/>
  <c r="I9" i="2"/>
  <c r="G14" i="2"/>
  <c r="C14" i="2"/>
  <c r="E14" i="2"/>
  <c r="K10" i="2" l="1"/>
  <c r="K11" i="2"/>
  <c r="K12" i="2"/>
  <c r="K13" i="2"/>
  <c r="I25" i="15"/>
  <c r="I26" i="15"/>
  <c r="I27" i="15"/>
  <c r="I28" i="15"/>
  <c r="I29" i="15"/>
  <c r="I30" i="15"/>
  <c r="I32" i="15"/>
  <c r="I33" i="15"/>
  <c r="I34" i="15"/>
  <c r="I31" i="15"/>
  <c r="Q25" i="15"/>
  <c r="Q26" i="15"/>
  <c r="Q27" i="15"/>
  <c r="Q28" i="15"/>
  <c r="Q29" i="15"/>
  <c r="Q30" i="15"/>
  <c r="Q32" i="15"/>
  <c r="Q33" i="15"/>
  <c r="Q34" i="15"/>
  <c r="Q31" i="15"/>
  <c r="Q36" i="5"/>
  <c r="M36" i="5"/>
  <c r="G36" i="5"/>
  <c r="C36" i="5"/>
  <c r="S9" i="18"/>
  <c r="S8" i="18"/>
  <c r="M9" i="18"/>
  <c r="M8" i="18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O36" i="5" s="1"/>
  <c r="Q26" i="14"/>
  <c r="Q28" i="14"/>
  <c r="Q29" i="14"/>
  <c r="Q30" i="14"/>
  <c r="Q27" i="14"/>
  <c r="O38" i="5" s="1"/>
  <c r="Q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E36" i="5" s="1"/>
  <c r="I26" i="14"/>
  <c r="I28" i="14"/>
  <c r="I29" i="14"/>
  <c r="I30" i="14"/>
  <c r="I27" i="14"/>
  <c r="I7" i="14"/>
  <c r="O31" i="14"/>
  <c r="M31" i="14"/>
  <c r="G31" i="14"/>
  <c r="E31" i="14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G12" i="6"/>
  <c r="I7" i="15"/>
  <c r="O35" i="15"/>
  <c r="M35" i="15"/>
  <c r="G35" i="15"/>
  <c r="E35" i="15"/>
  <c r="L8" i="21"/>
  <c r="L10" i="21"/>
  <c r="L7" i="21"/>
  <c r="L11" i="21" s="1"/>
  <c r="F8" i="21"/>
  <c r="F10" i="21"/>
  <c r="F7" i="21"/>
  <c r="J11" i="21"/>
  <c r="D11" i="21"/>
  <c r="B11" i="21"/>
  <c r="Q10" i="18"/>
  <c r="O10" i="18"/>
  <c r="K10" i="18"/>
  <c r="I10" i="18"/>
  <c r="E10" i="8"/>
  <c r="AG10" i="17"/>
  <c r="AG11" i="17"/>
  <c r="AG9" i="17"/>
  <c r="AE12" i="17"/>
  <c r="AC12" i="17"/>
  <c r="W12" i="17"/>
  <c r="T12" i="17"/>
  <c r="Q12" i="17"/>
  <c r="O12" i="17"/>
  <c r="U30" i="1"/>
  <c r="S30" i="1"/>
  <c r="M30" i="1"/>
  <c r="J30" i="1"/>
  <c r="G30" i="1"/>
  <c r="E30" i="1"/>
  <c r="C10" i="7"/>
  <c r="Q38" i="5"/>
  <c r="G38" i="5"/>
  <c r="E38" i="5" l="1"/>
  <c r="Q35" i="15"/>
  <c r="I36" i="5"/>
  <c r="K36" i="5" s="1"/>
  <c r="S36" i="5"/>
  <c r="U36" i="5" s="1"/>
  <c r="I35" i="15"/>
  <c r="F11" i="21"/>
  <c r="I10" i="11"/>
  <c r="K14" i="2"/>
  <c r="I31" i="14"/>
  <c r="Q31" i="14"/>
  <c r="E11" i="5" l="1"/>
  <c r="C34" i="5"/>
  <c r="C13" i="5"/>
  <c r="M10" i="18" l="1"/>
  <c r="H6" i="13"/>
  <c r="C8" i="7"/>
  <c r="Q35" i="5"/>
  <c r="Q37" i="5"/>
  <c r="O35" i="5"/>
  <c r="O37" i="5"/>
  <c r="M35" i="5"/>
  <c r="M37" i="5"/>
  <c r="G35" i="5"/>
  <c r="G37" i="5"/>
  <c r="E35" i="5"/>
  <c r="E37" i="5"/>
  <c r="C35" i="5"/>
  <c r="C37" i="5"/>
  <c r="C11" i="5"/>
  <c r="E12" i="5"/>
  <c r="G11" i="5"/>
  <c r="M10" i="6"/>
  <c r="G10" i="6"/>
  <c r="E10" i="6"/>
  <c r="S10" i="18"/>
  <c r="I35" i="5" l="1"/>
  <c r="K35" i="5" s="1"/>
  <c r="S35" i="5"/>
  <c r="U35" i="5" s="1"/>
  <c r="S37" i="5"/>
  <c r="U37" i="5" s="1"/>
  <c r="I37" i="5"/>
  <c r="K37" i="5" s="1"/>
  <c r="I11" i="5"/>
  <c r="K11" i="5" s="1"/>
  <c r="C5" i="8" l="1"/>
  <c r="M6" i="17" l="1"/>
  <c r="M38" i="5" l="1"/>
  <c r="S38" i="5" s="1"/>
  <c r="U38" i="5" s="1"/>
  <c r="Y6" i="17"/>
  <c r="C9" i="7"/>
  <c r="M14" i="5"/>
  <c r="M13" i="5"/>
  <c r="M11" i="5"/>
  <c r="C11" i="7" l="1"/>
  <c r="C10" i="6"/>
  <c r="A3" i="14"/>
  <c r="A3" i="15"/>
  <c r="A3" i="21"/>
  <c r="A3" i="13"/>
  <c r="A3" i="18"/>
  <c r="I10" i="6" l="1"/>
  <c r="E10" i="7"/>
  <c r="E8" i="7"/>
  <c r="E9" i="7"/>
  <c r="C12" i="5"/>
  <c r="C16" i="5"/>
  <c r="G12" i="5"/>
  <c r="G14" i="5"/>
  <c r="Q16" i="5"/>
  <c r="Q14" i="5"/>
  <c r="Q19" i="5"/>
  <c r="Q12" i="5"/>
  <c r="C15" i="5"/>
  <c r="E11" i="7" l="1"/>
  <c r="I12" i="5"/>
  <c r="K12" i="5" s="1"/>
  <c r="Q17" i="5"/>
  <c r="Q32" i="5"/>
  <c r="Q29" i="5"/>
  <c r="Q28" i="5"/>
  <c r="Q23" i="5"/>
  <c r="G29" i="5"/>
  <c r="G25" i="5"/>
  <c r="G32" i="5"/>
  <c r="G11" i="6"/>
  <c r="Q25" i="5"/>
  <c r="Q22" i="5"/>
  <c r="Q30" i="5"/>
  <c r="Q27" i="5"/>
  <c r="Q20" i="5"/>
  <c r="Q26" i="5"/>
  <c r="Q33" i="5"/>
  <c r="Q21" i="5"/>
  <c r="Q31" i="5"/>
  <c r="Q34" i="5"/>
  <c r="Q24" i="5"/>
  <c r="G22" i="5"/>
  <c r="G20" i="5"/>
  <c r="G24" i="5"/>
  <c r="G21" i="5"/>
  <c r="G31" i="5"/>
  <c r="G27" i="5"/>
  <c r="G33" i="5"/>
  <c r="G23" i="5"/>
  <c r="G18" i="5"/>
  <c r="G34" i="5"/>
  <c r="G26" i="5"/>
  <c r="Q18" i="5"/>
  <c r="Q11" i="5"/>
  <c r="Q13" i="5"/>
  <c r="G13" i="5"/>
  <c r="C14" i="5"/>
  <c r="K5" i="14"/>
  <c r="K5" i="15"/>
  <c r="H5" i="21"/>
  <c r="E5" i="8"/>
  <c r="G6" i="7"/>
  <c r="C5" i="14"/>
  <c r="C5" i="15"/>
  <c r="B5" i="21"/>
  <c r="C6" i="6"/>
  <c r="K6" i="6"/>
  <c r="C6" i="7"/>
  <c r="O12" i="6"/>
  <c r="O11" i="6"/>
  <c r="O10" i="6"/>
  <c r="K11" i="6"/>
  <c r="K12" i="6"/>
  <c r="K10" i="6"/>
  <c r="K13" i="6" s="1"/>
  <c r="C11" i="6"/>
  <c r="C13" i="6" s="1"/>
  <c r="C12" i="6"/>
  <c r="M19" i="5"/>
  <c r="M22" i="5"/>
  <c r="M23" i="5"/>
  <c r="M25" i="5"/>
  <c r="M26" i="5"/>
  <c r="M28" i="5"/>
  <c r="M29" i="5"/>
  <c r="M30" i="5"/>
  <c r="M33" i="5"/>
  <c r="M34" i="5"/>
  <c r="M12" i="5"/>
  <c r="M16" i="5"/>
  <c r="M17" i="5"/>
  <c r="C28" i="5"/>
  <c r="C29" i="5"/>
  <c r="C30" i="5"/>
  <c r="C31" i="5"/>
  <c r="C32" i="5"/>
  <c r="C33" i="5"/>
  <c r="C38" i="5"/>
  <c r="C22" i="5"/>
  <c r="C23" i="5"/>
  <c r="C24" i="5"/>
  <c r="C25" i="5"/>
  <c r="C26" i="5"/>
  <c r="C27" i="5"/>
  <c r="C17" i="5"/>
  <c r="C18" i="5"/>
  <c r="C19" i="5"/>
  <c r="C20" i="5"/>
  <c r="C21" i="5"/>
  <c r="Q9" i="13"/>
  <c r="P9" i="13"/>
  <c r="N9" i="13"/>
  <c r="J9" i="13"/>
  <c r="H9" i="13"/>
  <c r="R8" i="13"/>
  <c r="R9" i="13" s="1"/>
  <c r="L8" i="13"/>
  <c r="L9" i="13" s="1"/>
  <c r="G9" i="7"/>
  <c r="G8" i="7"/>
  <c r="O13" i="6" l="1"/>
  <c r="Q10" i="6"/>
  <c r="G13" i="6"/>
  <c r="I38" i="5"/>
  <c r="K38" i="5" s="1"/>
  <c r="C39" i="5"/>
  <c r="G30" i="5"/>
  <c r="G28" i="5"/>
  <c r="G10" i="7"/>
  <c r="G11" i="7" s="1"/>
  <c r="M20" i="5"/>
  <c r="M27" i="5"/>
  <c r="K10" i="20"/>
  <c r="K11" i="20" s="1"/>
  <c r="I9" i="11" l="1"/>
  <c r="I8" i="7"/>
  <c r="I9" i="7"/>
  <c r="I10" i="7"/>
  <c r="M31" i="5"/>
  <c r="M32" i="5"/>
  <c r="M15" i="5"/>
  <c r="M21" i="5"/>
  <c r="Q15" i="5"/>
  <c r="Q39" i="5" s="1"/>
  <c r="A3" i="20"/>
  <c r="A3" i="2"/>
  <c r="I11" i="7" l="1"/>
  <c r="O15" i="5" l="1"/>
  <c r="S15" i="5" s="1"/>
  <c r="U15" i="5" s="1"/>
  <c r="M11" i="6" l="1"/>
  <c r="G19" i="5"/>
  <c r="G16" i="5"/>
  <c r="O13" i="5"/>
  <c r="S13" i="5" s="1"/>
  <c r="U13" i="5" s="1"/>
  <c r="O12" i="5"/>
  <c r="S12" i="5" s="1"/>
  <c r="U12" i="5" s="1"/>
  <c r="O14" i="5"/>
  <c r="S14" i="5" s="1"/>
  <c r="U14" i="5" s="1"/>
  <c r="G17" i="5"/>
  <c r="E14" i="5"/>
  <c r="I14" i="5" s="1"/>
  <c r="K14" i="5" s="1"/>
  <c r="O23" i="5"/>
  <c r="S23" i="5" s="1"/>
  <c r="U23" i="5" s="1"/>
  <c r="O20" i="5"/>
  <c r="S20" i="5" s="1"/>
  <c r="U20" i="5" s="1"/>
  <c r="O24" i="5"/>
  <c r="O21" i="5"/>
  <c r="S21" i="5" s="1"/>
  <c r="U21" i="5" s="1"/>
  <c r="M12" i="6"/>
  <c r="Q12" i="6" s="1"/>
  <c r="E13" i="5"/>
  <c r="I13" i="5" s="1"/>
  <c r="K13" i="5" s="1"/>
  <c r="O11" i="5"/>
  <c r="S11" i="5" s="1"/>
  <c r="U11" i="5" s="1"/>
  <c r="G15" i="5"/>
  <c r="E15" i="5"/>
  <c r="O22" i="5"/>
  <c r="S22" i="5" s="1"/>
  <c r="U22" i="5" s="1"/>
  <c r="O26" i="5"/>
  <c r="S26" i="5" s="1"/>
  <c r="U26" i="5" s="1"/>
  <c r="O33" i="5"/>
  <c r="S33" i="5" s="1"/>
  <c r="U33" i="5" s="1"/>
  <c r="E34" i="5"/>
  <c r="I34" i="5" s="1"/>
  <c r="K34" i="5" s="1"/>
  <c r="O34" i="5"/>
  <c r="S34" i="5" s="1"/>
  <c r="U34" i="5" s="1"/>
  <c r="I15" i="5" l="1"/>
  <c r="K15" i="5" s="1"/>
  <c r="M13" i="6"/>
  <c r="Q11" i="6"/>
  <c r="Q13" i="6" s="1"/>
  <c r="G39" i="5"/>
  <c r="E12" i="6"/>
  <c r="I12" i="6" s="1"/>
  <c r="O19" i="5"/>
  <c r="S19" i="5" s="1"/>
  <c r="U19" i="5" s="1"/>
  <c r="E11" i="6"/>
  <c r="E33" i="5"/>
  <c r="I33" i="5" s="1"/>
  <c r="K33" i="5" s="1"/>
  <c r="E22" i="5"/>
  <c r="I22" i="5" s="1"/>
  <c r="K22" i="5" s="1"/>
  <c r="E16" i="5"/>
  <c r="I16" i="5" s="1"/>
  <c r="K16" i="5" s="1"/>
  <c r="E30" i="5"/>
  <c r="I30" i="5" s="1"/>
  <c r="K30" i="5" s="1"/>
  <c r="O17" i="5"/>
  <c r="S17" i="5" s="1"/>
  <c r="U17" i="5" s="1"/>
  <c r="O16" i="5"/>
  <c r="S16" i="5" s="1"/>
  <c r="U16" i="5" s="1"/>
  <c r="O32" i="5"/>
  <c r="S32" i="5" s="1"/>
  <c r="U32" i="5" s="1"/>
  <c r="O30" i="5"/>
  <c r="S30" i="5" s="1"/>
  <c r="U30" i="5" s="1"/>
  <c r="O27" i="5"/>
  <c r="S27" i="5" s="1"/>
  <c r="U27" i="5" s="1"/>
  <c r="O25" i="5"/>
  <c r="S25" i="5" s="1"/>
  <c r="U25" i="5" s="1"/>
  <c r="E17" i="5"/>
  <c r="I17" i="5" s="1"/>
  <c r="K17" i="5" s="1"/>
  <c r="E31" i="5"/>
  <c r="I31" i="5" s="1"/>
  <c r="K31" i="5" s="1"/>
  <c r="E32" i="5"/>
  <c r="I32" i="5" s="1"/>
  <c r="K32" i="5" s="1"/>
  <c r="E28" i="5"/>
  <c r="I28" i="5" s="1"/>
  <c r="K28" i="5" s="1"/>
  <c r="E25" i="5"/>
  <c r="I25" i="5" s="1"/>
  <c r="K25" i="5" s="1"/>
  <c r="E26" i="5"/>
  <c r="I26" i="5" s="1"/>
  <c r="K26" i="5" s="1"/>
  <c r="O31" i="5"/>
  <c r="S31" i="5" s="1"/>
  <c r="U31" i="5" s="1"/>
  <c r="O29" i="5"/>
  <c r="S29" i="5" s="1"/>
  <c r="U29" i="5" s="1"/>
  <c r="E24" i="5"/>
  <c r="I24" i="5" s="1"/>
  <c r="K24" i="5" s="1"/>
  <c r="E21" i="5"/>
  <c r="I21" i="5" s="1"/>
  <c r="K21" i="5" s="1"/>
  <c r="E19" i="5"/>
  <c r="I19" i="5" s="1"/>
  <c r="K19" i="5" s="1"/>
  <c r="O28" i="5"/>
  <c r="S28" i="5" s="1"/>
  <c r="U28" i="5" s="1"/>
  <c r="E20" i="5"/>
  <c r="I20" i="5" s="1"/>
  <c r="K20" i="5" s="1"/>
  <c r="E29" i="5"/>
  <c r="I29" i="5" s="1"/>
  <c r="K29" i="5" s="1"/>
  <c r="E23" i="5"/>
  <c r="I23" i="5" s="1"/>
  <c r="K23" i="5" s="1"/>
  <c r="E27" i="5"/>
  <c r="I27" i="5" s="1"/>
  <c r="K27" i="5" s="1"/>
  <c r="O18" i="5"/>
  <c r="E18" i="5"/>
  <c r="I18" i="5" s="1"/>
  <c r="K18" i="5" s="1"/>
  <c r="K39" i="5" l="1"/>
  <c r="I8" i="11"/>
  <c r="E13" i="6"/>
  <c r="I11" i="6"/>
  <c r="E39" i="5"/>
  <c r="O39" i="5"/>
  <c r="I39" i="5" l="1"/>
  <c r="I13" i="6"/>
  <c r="C6" i="2" l="1"/>
  <c r="M18" i="5"/>
  <c r="S18" i="5" l="1"/>
  <c r="U18" i="5" s="1"/>
  <c r="M24" i="5"/>
  <c r="S24" i="5" s="1"/>
  <c r="U24" i="5" s="1"/>
  <c r="C8" i="20"/>
  <c r="I6" i="2"/>
  <c r="E5" i="11"/>
  <c r="M39" i="5" l="1"/>
  <c r="S39" i="5" l="1"/>
  <c r="U39" i="5"/>
  <c r="I7" i="11" l="1"/>
  <c r="I11" i="11" s="1"/>
  <c r="A3" i="17"/>
  <c r="G8" i="11" l="1"/>
  <c r="G9" i="11"/>
  <c r="G10" i="11"/>
  <c r="G7" i="11"/>
  <c r="A3" i="8"/>
  <c r="A3" i="7"/>
  <c r="A3" i="6"/>
  <c r="A3" i="5"/>
  <c r="G11" i="11" l="1"/>
  <c r="A3" i="11"/>
</calcChain>
</file>

<file path=xl/sharedStrings.xml><?xml version="1.0" encoding="utf-8"?>
<sst xmlns="http://schemas.openxmlformats.org/spreadsheetml/2006/main" count="358" uniqueCount="153">
  <si>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</si>
  <si>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</si>
  <si>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</si>
  <si>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</si>
  <si>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</si>
  <si>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</si>
  <si>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</si>
  <si>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</si>
  <si>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</si>
  <si>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</si>
  <si>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</si>
  <si>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</si>
  <si>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</si>
  <si>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</si>
  <si>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</si>
  <si>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</si>
  <si>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</si>
  <si>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</si>
  <si>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</si>
  <si>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</si>
  <si>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</si>
  <si>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</si>
  <si>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</si>
  <si>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</si>
  <si>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</si>
  <si>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</si>
  <si>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</si>
  <si>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</si>
  <si>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</si>
  <si>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</si>
  <si>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</si>
  <si>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</si>
  <si>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</si>
  <si>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</si>
  <si>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</si>
  <si>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</si>
  <si>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</si>
  <si>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</si>
  <si>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</si>
  <si>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</si>
  <si>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</si>
  <si>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</si>
  <si>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</si>
  <si>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</si>
  <si>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</si>
  <si>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</si>
  <si>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</si>
  <si>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</si>
  <si>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</si>
  <si>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</si>
  <si>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</si>
  <si>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</si>
  <si>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</si>
  <si>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</si>
  <si>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</si>
  <si>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</si>
  <si>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</si>
  <si>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</si>
  <si>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</si>
  <si>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ب- درآمد ناشی از تغییر قیمت اوراق بهادار</t>
  </si>
  <si>
    <t>ج- سود(زیان) حاصل از فروش اوراق بهادار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</si>
  <si>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</si>
  <si>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</si>
  <si>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</si>
  <si>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</si>
  <si>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</si>
  <si>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</si>
  <si>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</si>
  <si>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</si>
  <si>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</si>
  <si>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</si>
  <si>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</si>
  <si>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</si>
  <si>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</si>
  <si>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</si>
  <si>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</si>
  <si>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</si>
  <si>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</si>
  <si>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</si>
  <si>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</si>
  <si>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</si>
  <si>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</si>
  <si>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</si>
  <si>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</si>
  <si>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دارایی‌ها</t>
  </si>
  <si>
    <t>درآمدها</t>
  </si>
  <si>
    <t>-</t>
  </si>
  <si>
    <t>صندوق سرمایه گذاری با تضمین اصل سرمایه کیان</t>
  </si>
  <si>
    <t>فولاد کاوه جنوب کیش (کاوه)</t>
  </si>
  <si>
    <t>صنایع پتروشیمی کرمانشاه (کرماشا)</t>
  </si>
  <si>
    <t>سر. صندوق بازنشستگی (وصندوق)</t>
  </si>
  <si>
    <t>مبین انرژی خلیج فارس (مبین)</t>
  </si>
  <si>
    <t>توسعه معدنی و صنعتی صبانور (کنور)</t>
  </si>
  <si>
    <t>بانک خاورمیانه (وخاور)</t>
  </si>
  <si>
    <t>پاسارگاد209.8100.15644767.1 -کوتاه مدت</t>
  </si>
  <si>
    <t>درآمد حاصل از سرمایه­گذاری در سهام و حق تقدم سهام و صندوق‌های سرمایه‌گذاری</t>
  </si>
  <si>
    <t>سیمان صوفیان (سصوفی)</t>
  </si>
  <si>
    <t>سیمان آبیک (سآبیک)</t>
  </si>
  <si>
    <t>پتروشیمی تندگویان (شگویا)</t>
  </si>
  <si>
    <t>سیمان مازندران (سمازن)</t>
  </si>
  <si>
    <t>بلی</t>
  </si>
  <si>
    <t>آهن و فولاد غدیر ایرانیان (فغدیر)</t>
  </si>
  <si>
    <t>گروه مالی صبا تامین (صبا)</t>
  </si>
  <si>
    <t>اسناد خزانه-م3بودجه01-040520 (اخزا103)</t>
  </si>
  <si>
    <t>اسنادخزانه-م1بودجه02-050325 (اخزا201)</t>
  </si>
  <si>
    <t>1401/05/18</t>
  </si>
  <si>
    <t>1402/06/19</t>
  </si>
  <si>
    <t>1404/05/20</t>
  </si>
  <si>
    <t>1405/03/25</t>
  </si>
  <si>
    <t>پالایش نفت تبریز (شبریز)</t>
  </si>
  <si>
    <t>سرمایه گذاری و توسعه صنایع سیمان (سیدکو)</t>
  </si>
  <si>
    <t>سر. تامین اجتماعی (شستا)</t>
  </si>
  <si>
    <t>نشاسته و گلوکز آردینه (آردینه)</t>
  </si>
  <si>
    <t>پارس فنر (فنر)</t>
  </si>
  <si>
    <t>اسنادخزانه-م4بودجه01-040917 (اخزا104)</t>
  </si>
  <si>
    <t>1401/12/08</t>
  </si>
  <si>
    <t>1404/09/17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</si>
  <si>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</si>
  <si>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</si>
  <si>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</si>
  <si>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‫تعداد</t>
  </si>
  <si>
    <t>‫قیمت
آخرین معامله</t>
  </si>
  <si>
    <t>‫قیمت تعدیل شده</t>
  </si>
  <si>
    <t>‫درصد تعدیل</t>
  </si>
  <si>
    <t>‫خالص ارزش فروش تعدیل شده</t>
  </si>
  <si>
    <t>‫دلیل تعدیل</t>
  </si>
  <si>
    <t>کاشی سینا (کساوه)</t>
  </si>
  <si>
    <t>پاسارگاد 209.307.15644767.2</t>
  </si>
  <si>
    <t>د- سود اوراق بهادار با درآمد ثابت</t>
  </si>
  <si>
    <t>نرخ سود</t>
  </si>
  <si>
    <t>سبحان دارو (دسبحان)</t>
  </si>
  <si>
    <t>دارو فارابی (دفارا)</t>
  </si>
  <si>
    <t>مواد داروپخش (دتماد)</t>
  </si>
  <si>
    <t>داروسازی قاضی (دقاضی)</t>
  </si>
  <si>
    <t>پارس دارو (دپارس)</t>
  </si>
  <si>
    <t>پخش هجرت (هجرت)</t>
  </si>
  <si>
    <t>توزیع داروپخش (دتوزیع)</t>
  </si>
  <si>
    <t>1403/07/28</t>
  </si>
  <si>
    <t>1403/09/30</t>
  </si>
  <si>
    <t>موتوژن (بموتو)</t>
  </si>
  <si>
    <t>مجتمع صنایع و معادن احیاء سپاهان (واحیا)</t>
  </si>
  <si>
    <t>1403/09/25</t>
  </si>
  <si>
    <t>1403/10/30</t>
  </si>
  <si>
    <t>برای ماه منتهی به 1403/10/30</t>
  </si>
  <si>
    <t>منتهی به 1403/10/30</t>
  </si>
  <si>
    <t>طی دی ماه</t>
  </si>
  <si>
    <t>از ابتدای سال مالی تا پایان دی ماه</t>
  </si>
  <si>
    <t>اختیارخ شستا-1350-1403/11/10 (ضستا1128)</t>
  </si>
  <si>
    <t>کوتاه مدت خاورمیانه</t>
  </si>
  <si>
    <t>تعدیل کارمزد کارگزاری</t>
  </si>
  <si>
    <t>صادرات کوتاه مدت 0219731449008</t>
  </si>
  <si>
    <t>صادرات بلند مدت 0407535977008</t>
  </si>
  <si>
    <t xml:space="preserve"> صادرات بلند مدت 0407535977008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</si>
</sst>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#,##0_-;[Red]\(#,##0\)"/>
    <numFmt numFmtId="166" formatCode="_(* #,##0.000_);_(* \(#,##0.000\);_(* &quot;-&quot;??_);_(@_)"/>
    <numFmt numFmtId="167" formatCode="_(* #,##0.000000_);_(* \(#,##0.000000\);_(* &quot;-&quot;??_);_(@_)"/>
    <numFmt numFmtId="168" formatCode="_-* #,##0.00_-;_-* #,##0.00\-;_-* &quot;-&quot;??_-;_-@_-"/>
    <numFmt numFmtId="169" formatCode="_-* #,##0.00000000_-;_-* #,##0.00000000\-;_-* &quot;-&quot;??_-;_-@_-"/>
    <numFmt numFmtId="170" formatCode="_-* #,##0_-;_-* #,##0\-;_-* &quot;-&quot;??_-;_-@_-"/>
    <numFmt numFmtId="171" formatCode="_-* #,##0.000000000000_-;_-* #,##0.000000000000\-;_-* &quot;-&quot;??_-;_-@_-"/>
    <numFmt numFmtId="172" formatCode="#,##0.0_);\(#,##0.0\)"/>
  </numFmts>
  <fonts count="5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11"/>
      <color rgb="FFFF0000"/>
      <name val="B Mitra"/>
      <charset val="178"/>
    </font>
    <font>
      <b/>
      <sz val="9"/>
      <color rgb="FF2E2E2E"/>
      <name val="IranSansFaNum"/>
    </font>
    <font>
      <sz val="18"/>
      <color theme="1"/>
      <name val="B Mitra"/>
      <charset val="178"/>
    </font>
    <font>
      <sz val="16"/>
      <name val="B Mitra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4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name val="B Mitra"/>
      <charset val="178"/>
    </font>
    <font>
      <b/>
      <sz val="13"/>
      <color rgb="FF000000"/>
      <name val="B Mitra"/>
      <charset val="178"/>
    </font>
    <font>
      <b/>
      <sz val="12"/>
      <color theme="1" tint="0.14999847407452621"/>
      <name val="B Mitra"/>
      <charset val="178"/>
    </font>
    <font>
      <b/>
      <sz val="14"/>
      <color theme="1" tint="0.1499984740745262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168" fontId="2" fillId="0" borderId="0" applyFont="0" applyFill="0" applyBorder="0" applyAlignment="0" applyProtection="0"/>
  </cellStyleXfs>
  <cellXfs count="339">
    <xf numFmtId="0" fontId="0" fillId="0" borderId="0" xfId="0"/>
    <xf numFmtId="0" fontId="12" fillId="0" borderId="0" xfId="0" applyFont="1"/>
    <xf numFmtId="165" fontId="8" fillId="0" borderId="0" xfId="1" applyNumberFormat="1" applyFont="1" applyFill="1"/>
    <xf numFmtId="0" fontId="29" fillId="0" borderId="0" xfId="0" applyFont="1" applyAlignment="1">
      <alignment vertical="center"/>
    </xf>
    <xf numFmtId="164" fontId="4" fillId="0" borderId="0" xfId="1" applyNumberFormat="1" applyFont="1" applyFill="1" applyAlignment="1">
      <alignment vertical="center"/>
    </xf>
    <xf numFmtId="167" fontId="4" fillId="0" borderId="0" xfId="1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 wrapText="1" readingOrder="2"/>
    </xf>
    <xf numFmtId="164" fontId="4" fillId="0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64" fontId="18" fillId="0" borderId="1" xfId="1" applyNumberFormat="1" applyFont="1" applyFill="1" applyBorder="1"/>
    <xf numFmtId="164" fontId="18" fillId="0" borderId="0" xfId="1" applyNumberFormat="1" applyFont="1" applyFill="1" applyAlignment="1">
      <alignment vertical="center"/>
    </xf>
    <xf numFmtId="10" fontId="11" fillId="0" borderId="0" xfId="2" applyNumberFormat="1" applyFont="1" applyFill="1" applyAlignment="1">
      <alignment horizontal="center" vertical="center"/>
    </xf>
    <xf numFmtId="10" fontId="11" fillId="0" borderId="8" xfId="2" applyNumberFormat="1" applyFont="1" applyFill="1" applyBorder="1" applyAlignment="1">
      <alignment horizontal="center" vertical="center"/>
    </xf>
    <xf numFmtId="164" fontId="14" fillId="0" borderId="0" xfId="1" applyNumberFormat="1" applyFont="1" applyFill="1"/>
    <xf numFmtId="164" fontId="8" fillId="0" borderId="0" xfId="1" applyNumberFormat="1" applyFont="1" applyFill="1" applyAlignment="1">
      <alignment vertical="center"/>
    </xf>
    <xf numFmtId="164" fontId="12" fillId="0" borderId="0" xfId="1" applyNumberFormat="1" applyFont="1" applyFill="1"/>
    <xf numFmtId="164" fontId="12" fillId="0" borderId="0" xfId="1" applyNumberFormat="1" applyFont="1" applyFill="1" applyAlignment="1"/>
    <xf numFmtId="164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/>
    <xf numFmtId="164" fontId="13" fillId="0" borderId="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/>
    <xf numFmtId="164" fontId="18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20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vertical="center"/>
    </xf>
    <xf numFmtId="165" fontId="12" fillId="0" borderId="0" xfId="1" applyNumberFormat="1" applyFont="1" applyFill="1"/>
    <xf numFmtId="165" fontId="13" fillId="0" borderId="0" xfId="1" applyNumberFormat="1" applyFont="1" applyFill="1" applyAlignment="1">
      <alignment vertical="center"/>
    </xf>
    <xf numFmtId="164" fontId="22" fillId="0" borderId="1" xfId="1" applyNumberFormat="1" applyFont="1" applyFill="1" applyBorder="1" applyAlignment="1">
      <alignment horizontal="center" vertical="center" wrapText="1" readingOrder="2"/>
    </xf>
    <xf numFmtId="165" fontId="22" fillId="0" borderId="1" xfId="1" applyNumberFormat="1" applyFont="1" applyFill="1" applyBorder="1" applyAlignment="1">
      <alignment horizontal="center" vertical="center" wrapText="1" readingOrder="2"/>
    </xf>
    <xf numFmtId="165" fontId="21" fillId="0" borderId="4" xfId="1" applyNumberFormat="1" applyFont="1" applyFill="1" applyBorder="1" applyAlignment="1">
      <alignment horizontal="center" vertical="center" wrapText="1" readingOrder="2"/>
    </xf>
    <xf numFmtId="164" fontId="14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164" fontId="37" fillId="0" borderId="0" xfId="1" applyNumberFormat="1" applyFont="1" applyFill="1" applyAlignment="1">
      <alignment vertical="center"/>
    </xf>
    <xf numFmtId="164" fontId="25" fillId="0" borderId="13" xfId="1" applyNumberFormat="1" applyFont="1" applyFill="1" applyBorder="1" applyAlignment="1">
      <alignment horizontal="center" vertical="center" wrapText="1" readingOrder="2"/>
    </xf>
    <xf numFmtId="164" fontId="18" fillId="0" borderId="0" xfId="1" applyNumberFormat="1" applyFont="1" applyFill="1" applyAlignment="1">
      <alignment vertical="center" wrapText="1"/>
    </xf>
    <xf numFmtId="164" fontId="18" fillId="0" borderId="3" xfId="1" applyNumberFormat="1" applyFont="1" applyFill="1" applyBorder="1" applyAlignment="1">
      <alignment vertical="center" wrapText="1"/>
    </xf>
    <xf numFmtId="164" fontId="8" fillId="0" borderId="0" xfId="1" applyNumberFormat="1" applyFont="1" applyFill="1"/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center" vertical="center" readingOrder="2"/>
    </xf>
    <xf numFmtId="164" fontId="20" fillId="0" borderId="9" xfId="1" applyNumberFormat="1" applyFont="1" applyFill="1" applyBorder="1" applyAlignment="1">
      <alignment horizontal="left" vertical="center"/>
    </xf>
    <xf numFmtId="164" fontId="20" fillId="0" borderId="0" xfId="1" applyNumberFormat="1" applyFont="1" applyFill="1" applyBorder="1" applyAlignment="1">
      <alignment vertical="center"/>
    </xf>
    <xf numFmtId="10" fontId="6" fillId="0" borderId="8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3" fontId="40" fillId="0" borderId="0" xfId="0" applyNumberFormat="1" applyFont="1"/>
    <xf numFmtId="0" fontId="18" fillId="0" borderId="0" xfId="0" applyFont="1"/>
    <xf numFmtId="0" fontId="8" fillId="0" borderId="0" xfId="0" applyFont="1"/>
    <xf numFmtId="164" fontId="18" fillId="0" borderId="1" xfId="1" applyNumberFormat="1" applyFont="1" applyFill="1" applyBorder="1" applyAlignment="1">
      <alignment horizontal="center"/>
    </xf>
    <xf numFmtId="164" fontId="16" fillId="0" borderId="0" xfId="1" applyNumberFormat="1" applyFont="1" applyFill="1" applyAlignment="1">
      <alignment horizontal="right" vertical="center" readingOrder="2"/>
    </xf>
    <xf numFmtId="164" fontId="12" fillId="0" borderId="0" xfId="0" applyNumberFormat="1" applyFont="1"/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0" fontId="21" fillId="0" borderId="8" xfId="2" applyNumberFormat="1" applyFont="1" applyFill="1" applyBorder="1" applyAlignment="1">
      <alignment horizontal="center" vertical="center" wrapText="1" readingOrder="2"/>
    </xf>
    <xf numFmtId="10" fontId="35" fillId="0" borderId="2" xfId="2" applyNumberFormat="1" applyFont="1" applyFill="1" applyBorder="1" applyAlignment="1">
      <alignment horizontal="center" vertical="center" wrapText="1" readingOrder="2"/>
    </xf>
    <xf numFmtId="165" fontId="8" fillId="0" borderId="0" xfId="1" applyNumberFormat="1" applyFont="1" applyFill="1" applyAlignment="1"/>
    <xf numFmtId="164" fontId="27" fillId="0" borderId="0" xfId="1" applyNumberFormat="1" applyFont="1" applyFill="1" applyBorder="1" applyAlignment="1">
      <alignment vertical="center" wrapText="1" readingOrder="2"/>
    </xf>
    <xf numFmtId="37" fontId="42" fillId="0" borderId="0" xfId="0" applyNumberFormat="1" applyFont="1" applyAlignment="1">
      <alignment horizontal="center" vertical="center" wrapText="1"/>
    </xf>
    <xf numFmtId="164" fontId="8" fillId="0" borderId="8" xfId="1" applyNumberFormat="1" applyFont="1" applyFill="1" applyBorder="1" applyAlignment="1">
      <alignment vertical="center"/>
    </xf>
    <xf numFmtId="164" fontId="13" fillId="0" borderId="8" xfId="1" applyNumberFormat="1" applyFont="1" applyFill="1" applyBorder="1" applyAlignment="1">
      <alignment vertical="center"/>
    </xf>
    <xf numFmtId="164" fontId="22" fillId="0" borderId="0" xfId="1" applyNumberFormat="1" applyFont="1" applyFill="1" applyBorder="1" applyAlignment="1">
      <alignment horizontal="right" vertical="center" wrapText="1" readingOrder="2"/>
    </xf>
    <xf numFmtId="164" fontId="31" fillId="0" borderId="0" xfId="1" applyNumberFormat="1" applyFont="1" applyFill="1" applyAlignment="1">
      <alignment horizontal="center"/>
    </xf>
    <xf numFmtId="164" fontId="17" fillId="0" borderId="0" xfId="1" applyNumberFormat="1" applyFont="1" applyFill="1" applyAlignment="1">
      <alignment horizontal="right" vertical="center" readingOrder="2"/>
    </xf>
    <xf numFmtId="164" fontId="17" fillId="0" borderId="0" xfId="1" applyNumberFormat="1" applyFont="1" applyFill="1" applyAlignment="1">
      <alignment vertical="center" readingOrder="2"/>
    </xf>
    <xf numFmtId="164" fontId="19" fillId="0" borderId="12" xfId="1" applyNumberFormat="1" applyFont="1" applyFill="1" applyBorder="1" applyAlignment="1">
      <alignment horizontal="right" vertical="center" readingOrder="2"/>
    </xf>
    <xf numFmtId="164" fontId="33" fillId="0" borderId="0" xfId="1" applyNumberFormat="1" applyFont="1" applyFill="1" applyAlignment="1">
      <alignment horizontal="right" vertical="center" readingOrder="2"/>
    </xf>
    <xf numFmtId="164" fontId="18" fillId="0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center" vertical="center"/>
    </xf>
    <xf numFmtId="164" fontId="18" fillId="0" borderId="0" xfId="1" applyNumberFormat="1" applyFont="1" applyFill="1" applyAlignment="1">
      <alignment horizontal="center"/>
    </xf>
    <xf numFmtId="164" fontId="31" fillId="0" borderId="0" xfId="1" applyNumberFormat="1" applyFont="1" applyFill="1" applyAlignment="1">
      <alignment vertical="center" wrapText="1"/>
    </xf>
    <xf numFmtId="164" fontId="18" fillId="0" borderId="0" xfId="1" applyNumberFormat="1" applyFont="1" applyFill="1" applyAlignment="1">
      <alignment horizontal="center" vertical="center" readingOrder="2"/>
    </xf>
    <xf numFmtId="164" fontId="39" fillId="0" borderId="0" xfId="1" applyNumberFormat="1" applyFont="1" applyFill="1"/>
    <xf numFmtId="164" fontId="18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164" fontId="32" fillId="0" borderId="0" xfId="1" applyNumberFormat="1" applyFont="1" applyFill="1"/>
    <xf numFmtId="37" fontId="16" fillId="0" borderId="0" xfId="1" applyNumberFormat="1" applyFont="1" applyFill="1" applyAlignment="1">
      <alignment horizontal="center" vertical="center" readingOrder="2"/>
    </xf>
    <xf numFmtId="37" fontId="17" fillId="0" borderId="0" xfId="1" applyNumberFormat="1" applyFont="1" applyFill="1" applyAlignment="1">
      <alignment horizontal="center" vertical="center" readingOrder="2"/>
    </xf>
    <xf numFmtId="37" fontId="18" fillId="0" borderId="0" xfId="1" applyNumberFormat="1" applyFont="1" applyFill="1" applyAlignment="1">
      <alignment horizontal="center"/>
    </xf>
    <xf numFmtId="3" fontId="0" fillId="0" borderId="0" xfId="0" applyNumberFormat="1"/>
    <xf numFmtId="169" fontId="44" fillId="0" borderId="0" xfId="5" applyNumberFormat="1" applyFont="1" applyFill="1" applyAlignment="1">
      <alignment horizontal="left" vertical="center" wrapText="1" shrinkToFit="1"/>
    </xf>
    <xf numFmtId="0" fontId="44" fillId="0" borderId="0" xfId="0" applyFont="1" applyAlignment="1">
      <alignment vertical="center"/>
    </xf>
    <xf numFmtId="0" fontId="45" fillId="0" borderId="0" xfId="0" applyFont="1"/>
    <xf numFmtId="0" fontId="47" fillId="0" borderId="0" xfId="0" applyFont="1"/>
    <xf numFmtId="37" fontId="46" fillId="0" borderId="10" xfId="0" applyNumberFormat="1" applyFont="1" applyBorder="1" applyAlignment="1">
      <alignment horizontal="center" vertical="center"/>
    </xf>
    <xf numFmtId="37" fontId="46" fillId="0" borderId="10" xfId="0" applyNumberFormat="1" applyFont="1" applyBorder="1" applyAlignment="1">
      <alignment horizontal="center" vertical="center" wrapText="1"/>
    </xf>
    <xf numFmtId="170" fontId="44" fillId="0" borderId="0" xfId="0" applyNumberFormat="1" applyFont="1" applyAlignment="1">
      <alignment vertical="center"/>
    </xf>
    <xf numFmtId="0" fontId="49" fillId="0" borderId="0" xfId="0" applyFont="1"/>
    <xf numFmtId="164" fontId="48" fillId="0" borderId="0" xfId="0" applyNumberFormat="1" applyFont="1" applyAlignment="1">
      <alignment horizontal="center" vertical="center" wrapText="1" shrinkToFit="1"/>
    </xf>
    <xf numFmtId="0" fontId="49" fillId="0" borderId="0" xfId="0" applyFont="1" applyAlignment="1">
      <alignment horizontal="center"/>
    </xf>
    <xf numFmtId="164" fontId="48" fillId="0" borderId="0" xfId="0" applyNumberFormat="1" applyFont="1" applyAlignment="1">
      <alignment horizontal="left" vertical="center" wrapText="1" shrinkToFit="1"/>
    </xf>
    <xf numFmtId="0" fontId="44" fillId="0" borderId="0" xfId="0" applyFont="1"/>
    <xf numFmtId="171" fontId="44" fillId="0" borderId="0" xfId="5" applyNumberFormat="1" applyFont="1" applyFill="1" applyAlignment="1">
      <alignment horizontal="left" vertical="center" wrapText="1" shrinkToFit="1"/>
    </xf>
    <xf numFmtId="0" fontId="49" fillId="0" borderId="0" xfId="0" applyFont="1" applyAlignment="1">
      <alignment vertical="center"/>
    </xf>
    <xf numFmtId="37" fontId="48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48" fillId="0" borderId="8" xfId="0" applyNumberFormat="1" applyFont="1" applyBorder="1" applyAlignment="1">
      <alignment horizontal="left" vertical="center" wrapText="1" shrinkToFit="1"/>
    </xf>
    <xf numFmtId="37" fontId="48" fillId="0" borderId="9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0" fontId="48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left" vertical="center" wrapText="1" shrinkToFit="1"/>
    </xf>
    <xf numFmtId="0" fontId="7" fillId="0" borderId="0" xfId="0" applyFont="1" applyAlignment="1">
      <alignment horizontal="center"/>
    </xf>
    <xf numFmtId="164" fontId="13" fillId="0" borderId="0" xfId="1" applyNumberFormat="1" applyFont="1" applyFill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43" fontId="8" fillId="0" borderId="0" xfId="1" applyFont="1" applyFill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10" fontId="4" fillId="0" borderId="0" xfId="1" applyNumberFormat="1" applyFont="1" applyFill="1" applyAlignment="1">
      <alignment vertical="center"/>
    </xf>
    <xf numFmtId="3" fontId="18" fillId="0" borderId="0" xfId="1" applyNumberFormat="1" applyFont="1" applyFill="1" applyAlignment="1">
      <alignment vertical="center"/>
    </xf>
    <xf numFmtId="172" fontId="13" fillId="2" borderId="0" xfId="1" applyNumberFormat="1" applyFont="1" applyFill="1" applyAlignment="1">
      <alignment vertical="center"/>
    </xf>
    <xf numFmtId="172" fontId="13" fillId="3" borderId="0" xfId="1" applyNumberFormat="1" applyFont="1" applyFill="1" applyAlignment="1">
      <alignment vertical="center"/>
    </xf>
    <xf numFmtId="0" fontId="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wrapText="1"/>
    </xf>
    <xf numFmtId="37" fontId="42" fillId="0" borderId="0" xfId="0" applyNumberFormat="1" applyFont="1" applyAlignment="1">
      <alignment horizontal="center" vertical="center"/>
    </xf>
    <xf numFmtId="172" fontId="13" fillId="0" borderId="0" xfId="1" applyNumberFormat="1" applyFont="1" applyFill="1" applyAlignment="1">
      <alignment vertical="center"/>
    </xf>
    <xf numFmtId="164" fontId="20" fillId="0" borderId="0" xfId="1" applyNumberFormat="1" applyFont="1" applyFill="1" applyAlignment="1">
      <alignment vertical="center"/>
    </xf>
    <xf numFmtId="10" fontId="52" fillId="0" borderId="0" xfId="2" applyNumberFormat="1" applyFont="1" applyFill="1" applyAlignment="1">
      <alignment horizontal="center" vertical="center" wrapText="1" readingOrder="2"/>
    </xf>
    <xf numFmtId="9" fontId="52" fillId="0" borderId="2" xfId="2" applyFont="1" applyFill="1" applyBorder="1" applyAlignment="1">
      <alignment horizontal="center" vertical="center" readingOrder="2"/>
    </xf>
    <xf numFmtId="10" fontId="52" fillId="0" borderId="2" xfId="2" applyNumberFormat="1" applyFont="1" applyFill="1" applyBorder="1" applyAlignment="1">
      <alignment horizontal="center" vertical="center" readingOrder="2"/>
    </xf>
    <xf numFmtId="3" fontId="53" fillId="0" borderId="2" xfId="2" applyNumberFormat="1" applyFont="1" applyFill="1" applyBorder="1" applyAlignment="1">
      <alignment horizontal="right" vertical="center" readingOrder="2"/>
    </xf>
    <xf numFmtId="164" fontId="41" fillId="0" borderId="0" xfId="1" applyNumberFormat="1" applyFont="1" applyFill="1" applyAlignment="1">
      <alignment vertical="center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vertical="center" wrapText="1" readingOrder="2"/>
    </xf>
    <xf numFmtId="0" fontId="4" fillId="0" borderId="0" xfId="0" applyFont="1" applyAlignment="1">
      <alignment horizontal="center" vertical="center" readingOrder="2"/>
    </xf>
    <xf numFmtId="37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1" fillId="0" borderId="0" xfId="0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7" fontId="30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8" fillId="0" borderId="1" xfId="0" applyFont="1" applyBorder="1"/>
    <xf numFmtId="0" fontId="16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wrapText="1" readingOrder="2"/>
    </xf>
    <xf numFmtId="0" fontId="18" fillId="0" borderId="0" xfId="0" applyFont="1" applyAlignment="1">
      <alignment horizontal="center"/>
    </xf>
    <xf numFmtId="37" fontId="11" fillId="0" borderId="0" xfId="0" applyNumberFormat="1" applyFont="1" applyAlignment="1">
      <alignment horizontal="right" vertical="center" wrapText="1"/>
    </xf>
    <xf numFmtId="164" fontId="18" fillId="0" borderId="0" xfId="0" applyNumberFormat="1" applyFont="1"/>
    <xf numFmtId="3" fontId="12" fillId="0" borderId="0" xfId="0" applyNumberFormat="1" applyFont="1"/>
    <xf numFmtId="3" fontId="24" fillId="0" borderId="10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3" fontId="18" fillId="0" borderId="0" xfId="0" applyNumberFormat="1" applyFont="1"/>
    <xf numFmtId="3" fontId="8" fillId="0" borderId="0" xfId="0" applyNumberFormat="1" applyFont="1"/>
    <xf numFmtId="3" fontId="13" fillId="0" borderId="0" xfId="0" applyNumberFormat="1" applyFont="1"/>
    <xf numFmtId="0" fontId="8" fillId="0" borderId="0" xfId="0" applyFont="1" applyAlignment="1">
      <alignment horizontal="center" vertical="center"/>
    </xf>
    <xf numFmtId="37" fontId="12" fillId="0" borderId="0" xfId="0" applyNumberFormat="1" applyFont="1"/>
    <xf numFmtId="37" fontId="8" fillId="0" borderId="0" xfId="0" applyNumberFormat="1" applyFont="1" applyAlignment="1">
      <alignment horizontal="center" vertical="center"/>
    </xf>
    <xf numFmtId="2" fontId="8" fillId="0" borderId="9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37" fontId="50" fillId="0" borderId="0" xfId="0" quotePrefix="1" applyNumberFormat="1" applyFont="1" applyAlignment="1">
      <alignment horizontal="right" vertical="center" wrapText="1"/>
    </xf>
    <xf numFmtId="164" fontId="8" fillId="0" borderId="0" xfId="0" applyNumberFormat="1" applyFont="1"/>
    <xf numFmtId="37" fontId="11" fillId="0" borderId="0" xfId="0" quotePrefix="1" applyNumberFormat="1" applyFont="1" applyAlignment="1">
      <alignment horizontal="right" vertical="center" wrapText="1"/>
    </xf>
    <xf numFmtId="2" fontId="8" fillId="0" borderId="0" xfId="0" applyNumberFormat="1" applyFont="1" applyAlignment="1">
      <alignment vertical="center"/>
    </xf>
    <xf numFmtId="0" fontId="25" fillId="0" borderId="1" xfId="0" applyFont="1" applyBorder="1" applyAlignment="1">
      <alignment horizontal="right" vertical="center" wrapText="1" readingOrder="2"/>
    </xf>
    <xf numFmtId="0" fontId="25" fillId="0" borderId="0" xfId="0" applyFont="1" applyAlignment="1">
      <alignment vertical="center" wrapText="1" readingOrder="2"/>
    </xf>
    <xf numFmtId="0" fontId="25" fillId="0" borderId="0" xfId="0" applyFont="1" applyAlignment="1">
      <alignment horizontal="center" vertical="center" wrapText="1" readingOrder="2"/>
    </xf>
    <xf numFmtId="0" fontId="25" fillId="0" borderId="1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0" fontId="21" fillId="0" borderId="0" xfId="0" applyFont="1" applyAlignment="1">
      <alignment vertical="center" wrapText="1" readingOrder="2"/>
    </xf>
    <xf numFmtId="165" fontId="21" fillId="0" borderId="4" xfId="0" applyNumberFormat="1" applyFont="1" applyBorder="1" applyAlignment="1">
      <alignment horizontal="center" vertical="center" wrapText="1" readingOrder="2"/>
    </xf>
    <xf numFmtId="0" fontId="21" fillId="0" borderId="4" xfId="0" applyFont="1" applyBorder="1" applyAlignment="1">
      <alignment horizontal="center" vertical="center" wrapText="1" readingOrder="2"/>
    </xf>
    <xf numFmtId="37" fontId="6" fillId="0" borderId="0" xfId="0" quotePrefix="1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7" fontId="3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25" fillId="0" borderId="13" xfId="0" applyFont="1" applyBorder="1" applyAlignment="1">
      <alignment horizontal="center" vertical="center" wrapText="1" readingOrder="2"/>
    </xf>
    <xf numFmtId="37" fontId="28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6" fillId="0" borderId="0" xfId="0" applyFont="1"/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0" fontId="18" fillId="0" borderId="0" xfId="0" applyFont="1" applyAlignment="1">
      <alignment vertical="center" wrapText="1"/>
    </xf>
    <xf numFmtId="164" fontId="4" fillId="0" borderId="0" xfId="1" applyNumberFormat="1" applyFont="1" applyFill="1" applyAlignment="1">
      <alignment horizontal="center" vertical="center"/>
    </xf>
    <xf numFmtId="37" fontId="6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 readingOrder="2"/>
    </xf>
    <xf numFmtId="164" fontId="10" fillId="0" borderId="0" xfId="0" applyNumberFormat="1" applyFont="1" applyFill="1" applyAlignment="1">
      <alignment horizontal="center"/>
    </xf>
    <xf numFmtId="164" fontId="18" fillId="0" borderId="2" xfId="1" applyNumberFormat="1" applyFont="1" applyFill="1" applyBorder="1" applyAlignment="1">
      <alignment vertical="center" readingOrder="2"/>
    </xf>
    <xf numFmtId="0" fontId="18" fillId="0" borderId="0" xfId="0" applyFont="1" applyFill="1"/>
    <xf numFmtId="164" fontId="18" fillId="0" borderId="2" xfId="1" applyNumberFormat="1" applyFont="1" applyFill="1" applyBorder="1" applyAlignment="1">
      <alignment horizontal="center" vertical="center" readingOrder="2"/>
    </xf>
    <xf numFmtId="0" fontId="4" fillId="0" borderId="0" xfId="0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37" fontId="3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/>
    <xf numFmtId="10" fontId="11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/>
    <xf numFmtId="3" fontId="11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8" fillId="0" borderId="0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37" fontId="11" fillId="0" borderId="0" xfId="0" quotePrefix="1" applyNumberFormat="1" applyFont="1" applyFill="1" applyAlignment="1">
      <alignment horizontal="right" vertical="center" wrapText="1"/>
    </xf>
    <xf numFmtId="164" fontId="18" fillId="0" borderId="0" xfId="1" applyNumberFormat="1" applyFont="1" applyFill="1" applyBorder="1" applyAlignment="1">
      <alignment horizontal="center" vertical="center" readingOrder="2"/>
    </xf>
    <xf numFmtId="0" fontId="25" fillId="0" borderId="0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 vertical="center" wrapText="1" readingOrder="2"/>
    </xf>
    <xf numFmtId="164" fontId="14" fillId="0" borderId="0" xfId="0" applyNumberFormat="1" applyFont="1"/>
    <xf numFmtId="37" fontId="11" fillId="0" borderId="0" xfId="0" applyNumberFormat="1" applyFont="1" applyAlignment="1">
      <alignment horizontal="center" vertical="center" wrapText="1"/>
    </xf>
    <xf numFmtId="9" fontId="4" fillId="0" borderId="0" xfId="2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 readingOrder="2"/>
    </xf>
    <xf numFmtId="164" fontId="4" fillId="0" borderId="1" xfId="1" applyNumberFormat="1" applyFont="1" applyFill="1" applyBorder="1" applyAlignment="1">
      <alignment horizontal="center" vertical="center" readingOrder="2"/>
    </xf>
    <xf numFmtId="164" fontId="4" fillId="0" borderId="3" xfId="1" applyNumberFormat="1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164" fontId="4" fillId="0" borderId="1" xfId="1" applyNumberFormat="1" applyFont="1" applyFill="1" applyBorder="1" applyAlignment="1">
      <alignment horizontal="center" vertical="center" wrapText="1" readingOrder="2"/>
    </xf>
    <xf numFmtId="10" fontId="4" fillId="0" borderId="3" xfId="2" applyNumberFormat="1" applyFont="1" applyFill="1" applyBorder="1" applyAlignment="1">
      <alignment horizontal="center" vertical="center" wrapText="1" readingOrder="2"/>
    </xf>
    <xf numFmtId="10" fontId="4" fillId="0" borderId="1" xfId="2" applyNumberFormat="1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37" fontId="46" fillId="0" borderId="14" xfId="0" applyNumberFormat="1" applyFont="1" applyBorder="1" applyAlignment="1">
      <alignment horizontal="center" vertical="center"/>
    </xf>
    <xf numFmtId="0" fontId="47" fillId="0" borderId="11" xfId="0" applyFont="1" applyBorder="1"/>
    <xf numFmtId="0" fontId="43" fillId="0" borderId="0" xfId="0" applyFont="1" applyAlignment="1">
      <alignment horizontal="center"/>
    </xf>
    <xf numFmtId="37" fontId="46" fillId="0" borderId="0" xfId="0" applyNumberFormat="1" applyFont="1" applyAlignment="1">
      <alignment horizontal="right" vertical="center"/>
    </xf>
    <xf numFmtId="0" fontId="47" fillId="0" borderId="0" xfId="0" applyFont="1"/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readingOrder="2"/>
    </xf>
    <xf numFmtId="0" fontId="18" fillId="0" borderId="0" xfId="0" applyFont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164" fontId="18" fillId="0" borderId="0" xfId="1" applyNumberFormat="1" applyFont="1" applyFill="1" applyBorder="1" applyAlignment="1">
      <alignment horizontal="center" vertical="center" readingOrder="2"/>
    </xf>
    <xf numFmtId="164" fontId="18" fillId="0" borderId="1" xfId="1" applyNumberFormat="1" applyFont="1" applyFill="1" applyBorder="1" applyAlignment="1">
      <alignment horizontal="center" vertical="center" readingOrder="2"/>
    </xf>
    <xf numFmtId="164" fontId="16" fillId="0" borderId="1" xfId="1" applyNumberFormat="1" applyFont="1" applyFill="1" applyBorder="1" applyAlignment="1">
      <alignment horizontal="center" vertical="center" wrapText="1" readingOrder="2"/>
    </xf>
    <xf numFmtId="164" fontId="16" fillId="0" borderId="0" xfId="1" applyNumberFormat="1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164" fontId="21" fillId="0" borderId="3" xfId="1" applyNumberFormat="1" applyFont="1" applyFill="1" applyBorder="1" applyAlignment="1">
      <alignment horizontal="center" vertical="center" wrapText="1" readingOrder="2"/>
    </xf>
    <xf numFmtId="164" fontId="21" fillId="0" borderId="0" xfId="1" applyNumberFormat="1" applyFont="1" applyFill="1" applyBorder="1" applyAlignment="1">
      <alignment horizontal="center" vertical="center" wrapText="1" readingOrder="2"/>
    </xf>
    <xf numFmtId="165" fontId="21" fillId="0" borderId="3" xfId="1" applyNumberFormat="1" applyFont="1" applyFill="1" applyBorder="1" applyAlignment="1">
      <alignment horizontal="center" vertical="center" wrapText="1" readingOrder="2"/>
    </xf>
    <xf numFmtId="165" fontId="21" fillId="0" borderId="0" xfId="1" applyNumberFormat="1" applyFont="1" applyFill="1" applyBorder="1" applyAlignment="1">
      <alignment horizontal="center" vertical="center" wrapText="1" readingOrder="2"/>
    </xf>
    <xf numFmtId="0" fontId="21" fillId="0" borderId="3" xfId="0" applyFont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164" fontId="13" fillId="0" borderId="3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Alignment="1">
      <alignment horizontal="center" vertical="center" wrapText="1"/>
    </xf>
    <xf numFmtId="165" fontId="13" fillId="0" borderId="3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3" xfId="0" applyFont="1" applyBorder="1" applyAlignment="1">
      <alignment horizontal="center" vertical="center" wrapText="1" readingOrder="2"/>
    </xf>
    <xf numFmtId="0" fontId="25" fillId="0" borderId="0" xfId="0" applyFont="1" applyAlignment="1">
      <alignment horizontal="center" vertical="center" wrapText="1" readingOrder="2"/>
    </xf>
    <xf numFmtId="0" fontId="20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 vertical="center" wrapText="1" readingOrder="2"/>
    </xf>
    <xf numFmtId="0" fontId="25" fillId="0" borderId="4" xfId="0" applyFont="1" applyBorder="1" applyAlignment="1">
      <alignment horizontal="center" vertical="center" wrapText="1" readingOrder="2"/>
    </xf>
    <xf numFmtId="164" fontId="16" fillId="0" borderId="4" xfId="1" applyNumberFormat="1" applyFont="1" applyFill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/>
    <xf numFmtId="3" fontId="20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right" vertical="center" readingOrder="2"/>
    </xf>
    <xf numFmtId="3" fontId="23" fillId="0" borderId="0" xfId="1" applyNumberFormat="1" applyFont="1" applyFill="1" applyAlignment="1">
      <alignment horizontal="right" vertical="center" readingOrder="2"/>
    </xf>
    <xf numFmtId="164" fontId="21" fillId="0" borderId="1" xfId="1" applyNumberFormat="1" applyFont="1" applyFill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51" fillId="0" borderId="1" xfId="1" applyNumberFormat="1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readingOrder="2"/>
    </xf>
    <xf numFmtId="165" fontId="23" fillId="0" borderId="0" xfId="1" applyNumberFormat="1" applyFont="1" applyFill="1" applyAlignment="1">
      <alignment horizontal="right" vertical="center" readingOrder="2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</cellXfs>
  <cellStyles count="6">
    <cellStyle name="Comma" xfId="1" builtinId="3"/>
    <cellStyle name="Comma 2" xfId="5" xr:uid="{F2B00D3C-5790-4550-A487-9FBEA97624C3}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9066</xdr:colOff>
      <xdr:row>4</xdr:row>
      <xdr:rowOff>142875</xdr:rowOff>
    </xdr:from>
    <xdr:to>
      <xdr:col>8</xdr:col>
      <xdr:colOff>579309</xdr:colOff>
      <xdr:row>17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C7B3B1-C69C-4450-A32E-C5A9A55E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30291" y="1019175"/>
          <a:ext cx="4837443" cy="276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13608</xdr:colOff>
      <xdr:row>37</xdr:row>
      <xdr:rowOff>76841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2F1AA2-6E9C-41CD-BE00-B2DBF132A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137464" y="0"/>
          <a:ext cx="6136822" cy="7941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M31"/>
  <sheetViews>
    <sheetView rightToLeft="1" tabSelected="1" view="pageBreakPreview" zoomScale="90" zoomScaleNormal="100" zoomScaleSheetLayoutView="90" workbookViewId="0">
      <selection activeCell="P21" sqref="P21"/>
    </sheetView>
  </sheetViews>
  <sheetFormatPr defaultColWidth="9.140625" defaultRowHeight="17.25"/>
  <cols>
    <col min="1" max="16384" width="9.140625" style="1"/>
  </cols>
  <sheetData>
    <row r="18" spans="1:13">
      <c r="M18" s="1" t="s">
        <v>54</v>
      </c>
    </row>
    <row r="24" spans="1:13" ht="15" customHeight="1">
      <c r="A24" s="247" t="s">
        <v>70</v>
      </c>
      <c r="B24" s="247"/>
      <c r="C24" s="247"/>
      <c r="D24" s="247"/>
      <c r="E24" s="247"/>
      <c r="F24" s="247"/>
      <c r="G24" s="247"/>
      <c r="H24" s="247"/>
      <c r="I24" s="247"/>
      <c r="J24" s="247"/>
      <c r="K24" s="3"/>
      <c r="L24" s="3"/>
    </row>
    <row r="25" spans="1:13" ht="15" customHeight="1">
      <c r="A25" s="247"/>
      <c r="B25" s="247"/>
      <c r="C25" s="247"/>
      <c r="D25" s="247"/>
      <c r="E25" s="247"/>
      <c r="F25" s="247"/>
      <c r="G25" s="247"/>
      <c r="H25" s="247"/>
      <c r="I25" s="247"/>
      <c r="J25" s="247"/>
      <c r="K25" s="3"/>
      <c r="L25" s="3"/>
    </row>
    <row r="26" spans="1:13" ht="15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3"/>
      <c r="L26" s="3"/>
    </row>
    <row r="27" spans="1:13">
      <c r="C27" s="1" t="s">
        <v>54</v>
      </c>
    </row>
    <row r="28" spans="1:13" ht="15" customHeight="1">
      <c r="A28" s="247" t="s">
        <v>144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</row>
    <row r="29" spans="1:13" ht="15" customHeight="1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</row>
    <row r="30" spans="1:13" ht="15" customHeight="1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</row>
    <row r="31" spans="1:13" ht="15" customHeight="1">
      <c r="A31" s="247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G14"/>
  <sheetViews>
    <sheetView rightToLeft="1" view="pageBreakPreview" zoomScaleNormal="100" zoomScaleSheetLayoutView="100" workbookViewId="0">
      <selection activeCell="E8" sqref="E8:E9"/>
    </sheetView>
  </sheetViews>
  <sheetFormatPr defaultColWidth="9.140625" defaultRowHeight="18"/>
  <cols>
    <col min="1" max="1" width="32.42578125" style="54" customWidth="1"/>
    <col min="2" max="2" width="1.42578125" style="54" customWidth="1"/>
    <col min="3" max="3" width="17.7109375" style="54" bestFit="1" customWidth="1"/>
    <col min="4" max="4" width="0.85546875" style="54" customWidth="1"/>
    <col min="5" max="5" width="18.140625" style="54" customWidth="1"/>
    <col min="6" max="6" width="9.85546875" style="54" bestFit="1" customWidth="1"/>
    <col min="7" max="7" width="11.28515625" style="54" bestFit="1" customWidth="1"/>
    <col min="8" max="16384" width="9.140625" style="54"/>
  </cols>
  <sheetData>
    <row r="1" spans="1:7" s="210" customFormat="1" ht="18.75">
      <c r="A1" s="282" t="s">
        <v>87</v>
      </c>
      <c r="B1" s="282"/>
      <c r="C1" s="282"/>
      <c r="D1" s="282"/>
      <c r="E1" s="282"/>
    </row>
    <row r="2" spans="1:7" s="210" customFormat="1" ht="18.75">
      <c r="A2" s="282" t="s">
        <v>52</v>
      </c>
      <c r="B2" s="282"/>
      <c r="C2" s="282"/>
      <c r="D2" s="282"/>
      <c r="E2" s="282"/>
    </row>
    <row r="3" spans="1:7" s="210" customFormat="1" ht="18.75">
      <c r="A3" s="282" t="str">
        <f>' سهام'!A3:W3</f>
        <v>برای ماه منتهی به 1403/10/30</v>
      </c>
      <c r="B3" s="282"/>
      <c r="C3" s="282"/>
      <c r="D3" s="282"/>
      <c r="E3" s="282"/>
    </row>
    <row r="4" spans="1:7" ht="18.75">
      <c r="A4" s="285" t="s">
        <v>28</v>
      </c>
      <c r="B4" s="285"/>
      <c r="C4" s="285"/>
      <c r="D4" s="285"/>
      <c r="E4" s="285"/>
    </row>
    <row r="5" spans="1:7" ht="49.5" customHeight="1" thickBot="1">
      <c r="A5" s="188"/>
      <c r="B5" s="189"/>
      <c r="C5" s="191" t="str">
        <f>'درآمد سرمایه گذاری در سهام '!C7</f>
        <v>طی دی ماه</v>
      </c>
      <c r="D5" s="167"/>
      <c r="E5" s="191" t="str">
        <f>'درآمد سرمایه گذاری در سهام '!M7</f>
        <v>از ابتدای سال مالی تا پایان دی ماه</v>
      </c>
    </row>
    <row r="6" spans="1:7" ht="16.5" customHeight="1">
      <c r="A6" s="319"/>
      <c r="B6" s="320"/>
      <c r="C6" s="315" t="s">
        <v>6</v>
      </c>
      <c r="D6" s="190"/>
      <c r="E6" s="315" t="s">
        <v>6</v>
      </c>
    </row>
    <row r="7" spans="1:7" ht="18.75" thickBot="1">
      <c r="A7" s="320"/>
      <c r="B7" s="320"/>
      <c r="C7" s="321"/>
      <c r="D7" s="192"/>
      <c r="E7" s="321"/>
    </row>
    <row r="8" spans="1:7" ht="18.75">
      <c r="A8" s="214" t="s">
        <v>29</v>
      </c>
      <c r="B8" s="214"/>
      <c r="C8" s="242">
        <v>5424452</v>
      </c>
      <c r="D8" s="192"/>
      <c r="E8" s="242">
        <v>54327507</v>
      </c>
    </row>
    <row r="9" spans="1:7">
      <c r="A9" s="167" t="s">
        <v>149</v>
      </c>
      <c r="B9" s="167"/>
      <c r="C9" s="11">
        <v>3531068</v>
      </c>
      <c r="D9" s="11"/>
      <c r="E9" s="11">
        <v>3531068</v>
      </c>
      <c r="F9" s="171"/>
      <c r="G9" s="171"/>
    </row>
    <row r="10" spans="1:7" ht="18.75" thickBot="1">
      <c r="A10" s="211" t="s">
        <v>2</v>
      </c>
      <c r="B10" s="167"/>
      <c r="C10" s="65">
        <v>8955520</v>
      </c>
      <c r="D10" s="11"/>
      <c r="E10" s="65">
        <f>SUM(E9:E9)</f>
        <v>3531068</v>
      </c>
    </row>
    <row r="11" spans="1:7" ht="18.75" thickTop="1">
      <c r="A11" s="167"/>
      <c r="D11" s="11"/>
    </row>
    <row r="12" spans="1:7">
      <c r="C12" s="53"/>
      <c r="E12" s="171"/>
    </row>
    <row r="14" spans="1:7">
      <c r="C14" s="176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S17"/>
  <sheetViews>
    <sheetView rightToLeft="1" view="pageBreakPreview" zoomScaleNormal="100" zoomScaleSheetLayoutView="100" workbookViewId="0">
      <selection activeCell="I8" sqref="I8"/>
    </sheetView>
  </sheetViews>
  <sheetFormatPr defaultColWidth="9.140625" defaultRowHeight="17.25"/>
  <cols>
    <col min="1" max="1" width="30.5703125" style="172" bestFit="1" customWidth="1"/>
    <col min="2" max="2" width="0.5703125" style="172" customWidth="1"/>
    <col min="3" max="3" width="15" style="172" customWidth="1"/>
    <col min="4" max="4" width="0.85546875" style="172" customWidth="1"/>
    <col min="5" max="5" width="15.28515625" style="172" bestFit="1" customWidth="1"/>
    <col min="6" max="6" width="1.140625" style="172" customWidth="1"/>
    <col min="7" max="7" width="9.42578125" style="172" bestFit="1" customWidth="1"/>
    <col min="8" max="8" width="0.5703125" style="172" customWidth="1"/>
    <col min="9" max="9" width="19.42578125" style="172" customWidth="1"/>
    <col min="10" max="10" width="1" style="172" customWidth="1"/>
    <col min="11" max="11" width="15.28515625" style="172" customWidth="1"/>
    <col min="12" max="12" width="1.140625" style="172" customWidth="1"/>
    <col min="13" max="13" width="18.28515625" style="172" customWidth="1"/>
    <col min="14" max="14" width="1" style="172" customWidth="1"/>
    <col min="15" max="15" width="19.42578125" style="172" bestFit="1" customWidth="1"/>
    <col min="16" max="16" width="1.140625" style="172" customWidth="1"/>
    <col min="17" max="17" width="16" style="172" bestFit="1" customWidth="1"/>
    <col min="18" max="18" width="1.140625" style="172" customWidth="1"/>
    <col min="19" max="19" width="21.140625" style="172" bestFit="1" customWidth="1"/>
    <col min="20" max="16384" width="9.140625" style="172"/>
  </cols>
  <sheetData>
    <row r="1" spans="1:19" ht="22.5">
      <c r="A1" s="326" t="s">
        <v>87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22.5">
      <c r="A2" s="326" t="s">
        <v>52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</row>
    <row r="3" spans="1:19" ht="22.5">
      <c r="A3" s="326" t="str">
        <f>' سهام'!$A$3</f>
        <v>برای ماه منتهی به 1403/10/30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</row>
    <row r="4" spans="1:19" ht="22.5">
      <c r="A4" s="327" t="s">
        <v>72</v>
      </c>
      <c r="B4" s="327"/>
      <c r="C4" s="327"/>
      <c r="D4" s="327"/>
      <c r="E4" s="327"/>
      <c r="F4" s="327"/>
      <c r="G4" s="327"/>
      <c r="H4" s="327"/>
      <c r="I4" s="328"/>
      <c r="J4" s="328"/>
      <c r="K4" s="328"/>
      <c r="L4" s="328"/>
      <c r="M4" s="328"/>
      <c r="N4" s="328"/>
      <c r="O4" s="328"/>
      <c r="P4" s="328"/>
      <c r="Q4" s="327"/>
      <c r="R4" s="327"/>
      <c r="S4" s="327"/>
    </row>
    <row r="6" spans="1:19" ht="25.5" customHeight="1">
      <c r="C6" s="324" t="s">
        <v>73</v>
      </c>
      <c r="D6" s="325"/>
      <c r="E6" s="325"/>
      <c r="F6" s="325"/>
      <c r="G6" s="325"/>
      <c r="I6" s="324" t="s">
        <v>74</v>
      </c>
      <c r="J6" s="325"/>
      <c r="K6" s="325"/>
      <c r="L6" s="325"/>
      <c r="M6" s="325"/>
      <c r="O6" s="324" t="str">
        <f>'درآمد سرمایه گذاری در سهام '!M7</f>
        <v>از ابتدای سال مالی تا پایان دی ماه</v>
      </c>
      <c r="P6" s="325"/>
      <c r="Q6" s="325"/>
      <c r="R6" s="325"/>
      <c r="S6" s="325"/>
    </row>
    <row r="7" spans="1:19" ht="56.25">
      <c r="A7" s="173" t="s">
        <v>75</v>
      </c>
      <c r="C7" s="174" t="s">
        <v>76</v>
      </c>
      <c r="E7" s="174" t="s">
        <v>77</v>
      </c>
      <c r="G7" s="174" t="s">
        <v>78</v>
      </c>
      <c r="I7" s="174" t="s">
        <v>79</v>
      </c>
      <c r="K7" s="174" t="s">
        <v>80</v>
      </c>
      <c r="M7" s="174" t="s">
        <v>81</v>
      </c>
      <c r="O7" s="174" t="s">
        <v>79</v>
      </c>
      <c r="Q7" s="174" t="s">
        <v>80</v>
      </c>
      <c r="S7" s="174" t="s">
        <v>81</v>
      </c>
    </row>
    <row r="8" spans="1:19" ht="18">
      <c r="A8" s="122" t="s">
        <v>111</v>
      </c>
      <c r="B8" s="122"/>
      <c r="C8" s="122" t="s">
        <v>137</v>
      </c>
      <c r="D8" s="122"/>
      <c r="E8" s="11">
        <v>1450722</v>
      </c>
      <c r="F8" s="122"/>
      <c r="G8" s="11">
        <v>150</v>
      </c>
      <c r="H8" s="122"/>
      <c r="I8" s="11">
        <v>0</v>
      </c>
      <c r="J8" s="122"/>
      <c r="K8" s="11">
        <v>0</v>
      </c>
      <c r="L8" s="122"/>
      <c r="M8" s="11">
        <f>I8+K8</f>
        <v>0</v>
      </c>
      <c r="N8" s="122"/>
      <c r="O8" s="11">
        <v>217608300</v>
      </c>
      <c r="P8" s="122"/>
      <c r="Q8" s="233">
        <v>0</v>
      </c>
      <c r="R8" s="122"/>
      <c r="S8" s="11">
        <f>O8+Q8</f>
        <v>217608300</v>
      </c>
    </row>
    <row r="9" spans="1:19" ht="18">
      <c r="A9" s="122" t="s">
        <v>139</v>
      </c>
      <c r="B9" s="122"/>
      <c r="C9" s="122" t="s">
        <v>141</v>
      </c>
      <c r="D9" s="122"/>
      <c r="E9" s="11">
        <v>1000000</v>
      </c>
      <c r="F9" s="122"/>
      <c r="G9" s="11">
        <v>323</v>
      </c>
      <c r="H9" s="122"/>
      <c r="I9" s="11">
        <v>0</v>
      </c>
      <c r="J9" s="122"/>
      <c r="K9" s="11">
        <v>0</v>
      </c>
      <c r="L9" s="122"/>
      <c r="M9" s="11">
        <f>I9+K9</f>
        <v>0</v>
      </c>
      <c r="N9" s="122"/>
      <c r="O9" s="11">
        <v>323000000</v>
      </c>
      <c r="P9" s="122"/>
      <c r="Q9" s="11">
        <v>-9031957</v>
      </c>
      <c r="R9" s="122"/>
      <c r="S9" s="11">
        <f>O9+Q9</f>
        <v>313968043</v>
      </c>
    </row>
    <row r="10" spans="1:19" ht="18.75" thickBot="1">
      <c r="A10" s="175" t="s">
        <v>82</v>
      </c>
      <c r="C10" s="233"/>
      <c r="D10" s="233"/>
      <c r="E10" s="233"/>
      <c r="F10" s="233"/>
      <c r="G10" s="22"/>
      <c r="H10" s="233"/>
      <c r="I10" s="65">
        <f>SUM(I8:I9)</f>
        <v>0</v>
      </c>
      <c r="J10" s="234"/>
      <c r="K10" s="65">
        <f>SUM(K8:K9)</f>
        <v>0</v>
      </c>
      <c r="L10" s="234"/>
      <c r="M10" s="65">
        <f>SUM(M8:M9)</f>
        <v>0</v>
      </c>
      <c r="N10" s="234"/>
      <c r="O10" s="65">
        <f>SUM(O8:O9)</f>
        <v>540608300</v>
      </c>
      <c r="P10" s="234"/>
      <c r="Q10" s="65">
        <f>SUM(Q8:Q9)</f>
        <v>-9031957</v>
      </c>
      <c r="R10" s="234"/>
      <c r="S10" s="65">
        <f>SUM(S8:S9)</f>
        <v>531576343</v>
      </c>
    </row>
    <row r="11" spans="1:19" s="11" customFormat="1" ht="18.75" thickTop="1"/>
    <row r="12" spans="1:19" s="11" customFormat="1" ht="18"/>
    <row r="13" spans="1:19" s="11" customFormat="1" ht="18"/>
    <row r="14" spans="1:19" s="11" customFormat="1" ht="18"/>
    <row r="15" spans="1:19" s="11" customFormat="1" ht="18"/>
    <row r="16" spans="1:19" s="11" customFormat="1" ht="18"/>
    <row r="17" s="11" customFormat="1" ht="18"/>
  </sheetData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AA32"/>
  <sheetViews>
    <sheetView rightToLeft="1" view="pageBreakPreview" zoomScale="70" zoomScaleNormal="100" zoomScaleSheetLayoutView="70" workbookViewId="0">
      <selection activeCell="N7" sqref="N7"/>
    </sheetView>
  </sheetViews>
  <sheetFormatPr defaultColWidth="9.140625" defaultRowHeight="21.75"/>
  <cols>
    <col min="1" max="1" width="50.85546875" style="54" customWidth="1"/>
    <col min="2" max="2" width="15.5703125" style="54" bestFit="1" customWidth="1"/>
    <col min="3" max="3" width="0.85546875" style="54" customWidth="1"/>
    <col min="4" max="4" width="14" style="54" bestFit="1" customWidth="1"/>
    <col min="5" max="5" width="1.28515625" style="54" customWidth="1"/>
    <col min="6" max="6" width="12.42578125" style="54" customWidth="1"/>
    <col min="7" max="7" width="1" style="54" customWidth="1"/>
    <col min="8" max="8" width="25" style="21" bestFit="1" customWidth="1"/>
    <col min="9" max="9" width="0.85546875" style="21" customWidth="1"/>
    <col min="10" max="10" width="25" style="21" bestFit="1" customWidth="1"/>
    <col min="11" max="11" width="0.7109375" style="21" customWidth="1"/>
    <col min="12" max="12" width="23.140625" style="21" bestFit="1" customWidth="1"/>
    <col min="13" max="13" width="0.7109375" style="21" customWidth="1"/>
    <col min="14" max="14" width="23.140625" style="21" bestFit="1" customWidth="1"/>
    <col min="15" max="15" width="0.5703125" style="21" customWidth="1"/>
    <col min="16" max="16" width="17" style="21" bestFit="1" customWidth="1"/>
    <col min="17" max="17" width="0.5703125" style="21" customWidth="1"/>
    <col min="18" max="18" width="23.140625" style="21" bestFit="1" customWidth="1"/>
    <col min="19" max="19" width="14.28515625" style="116" bestFit="1" customWidth="1"/>
    <col min="20" max="20" width="15.85546875" style="116" bestFit="1" customWidth="1"/>
    <col min="21" max="21" width="11.28515625" style="116" bestFit="1" customWidth="1"/>
    <col min="22" max="22" width="14.42578125" style="116" bestFit="1" customWidth="1"/>
    <col min="23" max="27" width="9.140625" style="116"/>
    <col min="28" max="16384" width="9.140625" style="54"/>
  </cols>
  <sheetData>
    <row r="1" spans="1:27" ht="24.75">
      <c r="A1" s="263" t="s">
        <v>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</row>
    <row r="2" spans="1:27" ht="24.75">
      <c r="A2" s="263" t="s">
        <v>52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27" ht="24.75">
      <c r="A3" s="263" t="str">
        <f>' سهام'!$A$3</f>
        <v>برای ماه منتهی به 1403/10/30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27" ht="24.7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spans="1:27" ht="24.75" customHeight="1">
      <c r="A5" s="264" t="s">
        <v>128</v>
      </c>
      <c r="B5" s="264"/>
      <c r="C5" s="264"/>
      <c r="D5" s="264"/>
      <c r="E5" s="264"/>
      <c r="F5" s="264"/>
      <c r="G5" s="264"/>
      <c r="H5" s="264"/>
      <c r="I5" s="18"/>
      <c r="J5" s="19"/>
      <c r="K5" s="19"/>
      <c r="L5" s="19"/>
      <c r="M5" s="19"/>
      <c r="N5" s="19"/>
      <c r="O5" s="19"/>
      <c r="P5" s="19"/>
      <c r="Q5" s="19"/>
      <c r="R5" s="19"/>
    </row>
    <row r="6" spans="1:27" ht="46.5" customHeight="1" thickBot="1">
      <c r="A6" s="61"/>
      <c r="B6" s="125"/>
      <c r="C6" s="125"/>
      <c r="D6" s="125"/>
      <c r="E6" s="125"/>
      <c r="F6" s="125"/>
      <c r="G6" s="126"/>
      <c r="H6" s="329" t="str">
        <f>'درآمد سرمایه گذاری در سهام '!C7</f>
        <v>طی دی ماه</v>
      </c>
      <c r="I6" s="329"/>
      <c r="J6" s="329"/>
      <c r="K6" s="329"/>
      <c r="L6" s="329"/>
      <c r="M6" s="19"/>
      <c r="N6" s="329" t="str">
        <f>'درآمد سرمایه گذاری در سهام '!M7</f>
        <v>از ابتدای سال مالی تا پایان دی ماه</v>
      </c>
      <c r="O6" s="329"/>
      <c r="P6" s="329"/>
      <c r="Q6" s="329"/>
      <c r="R6" s="329"/>
    </row>
    <row r="7" spans="1:27" ht="46.5" customHeight="1" thickBot="1">
      <c r="A7" s="63" t="s">
        <v>33</v>
      </c>
      <c r="B7" s="64" t="s">
        <v>36</v>
      </c>
      <c r="C7" s="126"/>
      <c r="D7" s="64" t="s">
        <v>20</v>
      </c>
      <c r="E7" s="126"/>
      <c r="F7" s="64" t="s">
        <v>129</v>
      </c>
      <c r="G7" s="62"/>
      <c r="H7" s="20" t="s">
        <v>53</v>
      </c>
      <c r="I7" s="115"/>
      <c r="J7" s="20" t="s">
        <v>35</v>
      </c>
      <c r="K7" s="115"/>
      <c r="L7" s="20" t="s">
        <v>37</v>
      </c>
      <c r="M7" s="19"/>
      <c r="N7" s="20" t="s">
        <v>53</v>
      </c>
      <c r="O7" s="115"/>
      <c r="P7" s="20" t="s">
        <v>35</v>
      </c>
      <c r="Q7" s="115"/>
      <c r="R7" s="20" t="s">
        <v>37</v>
      </c>
      <c r="S7" s="117"/>
      <c r="T7" s="118"/>
      <c r="U7" s="119"/>
    </row>
    <row r="8" spans="1:27" s="55" customFormat="1" ht="46.5" customHeight="1">
      <c r="A8" s="71" t="s">
        <v>86</v>
      </c>
      <c r="B8" s="11">
        <v>0</v>
      </c>
      <c r="C8" s="126"/>
      <c r="D8" s="11">
        <v>0</v>
      </c>
      <c r="E8" s="62"/>
      <c r="F8" s="11">
        <v>0</v>
      </c>
      <c r="G8" s="62"/>
      <c r="H8" s="11">
        <v>0</v>
      </c>
      <c r="I8" s="31"/>
      <c r="J8" s="31">
        <v>0</v>
      </c>
      <c r="K8" s="31"/>
      <c r="L8" s="31">
        <f>H8+J8</f>
        <v>0</v>
      </c>
      <c r="M8" s="31"/>
      <c r="N8" s="31">
        <v>0</v>
      </c>
      <c r="O8" s="31"/>
      <c r="P8" s="31">
        <v>0</v>
      </c>
      <c r="Q8" s="31"/>
      <c r="R8" s="31">
        <f>N8+P8</f>
        <v>0</v>
      </c>
      <c r="S8" s="116"/>
      <c r="T8" s="120"/>
      <c r="U8" s="116"/>
      <c r="V8" s="116"/>
      <c r="W8" s="116"/>
      <c r="X8" s="116"/>
      <c r="Y8" s="116"/>
      <c r="Z8" s="116"/>
      <c r="AA8" s="116"/>
    </row>
    <row r="9" spans="1:27" ht="46.5" customHeight="1" thickBot="1">
      <c r="A9" s="71"/>
      <c r="B9" s="31"/>
      <c r="C9" s="126"/>
      <c r="D9" s="127"/>
      <c r="E9" s="62"/>
      <c r="F9" s="128"/>
      <c r="G9" s="62"/>
      <c r="H9" s="65">
        <f>SUM(H8:H8)</f>
        <v>0</v>
      </c>
      <c r="I9" s="66"/>
      <c r="J9" s="73">
        <f>SUM(J8:J8)</f>
        <v>0</v>
      </c>
      <c r="K9" s="66"/>
      <c r="L9" s="73">
        <f>SUM(L8:L8)</f>
        <v>0</v>
      </c>
      <c r="M9" s="66"/>
      <c r="N9" s="73">
        <f>SUM(N8:N8)</f>
        <v>0</v>
      </c>
      <c r="O9" s="66"/>
      <c r="P9" s="73">
        <f>SUM(P8:P8)</f>
        <v>0</v>
      </c>
      <c r="Q9" s="74" t="e">
        <f>SUM(#REF!)</f>
        <v>#REF!</v>
      </c>
      <c r="R9" s="73">
        <f>SUM(R8:R8)</f>
        <v>0</v>
      </c>
    </row>
    <row r="10" spans="1:27" ht="47.45" customHeight="1" thickTop="1">
      <c r="B10" s="31"/>
      <c r="C10" s="126"/>
      <c r="D10" s="127"/>
      <c r="E10" s="62"/>
      <c r="F10" s="128"/>
      <c r="G10" s="62"/>
      <c r="I10" s="55"/>
      <c r="K10" s="55"/>
      <c r="M10" s="55"/>
      <c r="O10" s="55"/>
    </row>
    <row r="11" spans="1:27" ht="24">
      <c r="B11" s="62"/>
      <c r="C11" s="62"/>
      <c r="D11" s="62"/>
      <c r="E11" s="62"/>
      <c r="F11" s="62"/>
      <c r="I11" s="55"/>
      <c r="K11" s="55"/>
      <c r="M11" s="55"/>
      <c r="O11" s="55"/>
    </row>
    <row r="12" spans="1:27">
      <c r="H12" s="53"/>
      <c r="I12" s="55"/>
      <c r="K12" s="55"/>
      <c r="M12" s="55"/>
    </row>
    <row r="13" spans="1:27" s="1" customFormat="1" ht="24">
      <c r="B13" s="54"/>
      <c r="C13" s="54"/>
      <c r="D13" s="54"/>
      <c r="E13" s="54"/>
      <c r="F13" s="54"/>
      <c r="G13" s="62"/>
      <c r="H13" s="59"/>
      <c r="J13" s="60"/>
      <c r="L13" s="22"/>
      <c r="N13" s="23"/>
      <c r="P13" s="59"/>
      <c r="R13" s="11"/>
      <c r="S13" s="116"/>
      <c r="T13" s="116"/>
      <c r="U13" s="116"/>
      <c r="V13" s="116"/>
      <c r="W13" s="116"/>
      <c r="X13" s="116"/>
      <c r="Y13" s="116"/>
      <c r="Z13" s="116"/>
      <c r="AA13" s="116"/>
    </row>
    <row r="14" spans="1:27" s="1" customFormat="1" ht="24">
      <c r="B14" s="62"/>
      <c r="C14" s="62"/>
      <c r="D14" s="62"/>
      <c r="E14" s="62"/>
      <c r="F14" s="62"/>
      <c r="G14" s="62"/>
      <c r="H14" s="24"/>
      <c r="I14" s="58"/>
      <c r="J14" s="58"/>
      <c r="L14" s="22"/>
      <c r="N14" s="24"/>
      <c r="P14" s="58"/>
      <c r="R14" s="11"/>
      <c r="S14" s="116"/>
      <c r="T14" s="116"/>
      <c r="U14" s="116"/>
      <c r="V14" s="116"/>
      <c r="W14" s="116"/>
      <c r="X14" s="116"/>
      <c r="Y14" s="116"/>
      <c r="Z14" s="116"/>
      <c r="AA14" s="116"/>
    </row>
    <row r="15" spans="1:27" ht="24">
      <c r="B15" s="62"/>
      <c r="C15" s="62"/>
      <c r="D15" s="62"/>
      <c r="E15" s="62"/>
      <c r="F15" s="62"/>
      <c r="G15" s="62"/>
      <c r="H15" s="15"/>
      <c r="I15" s="55"/>
      <c r="K15" s="55"/>
      <c r="L15" s="11"/>
      <c r="N15" s="15"/>
      <c r="R15" s="11"/>
    </row>
    <row r="16" spans="1:27" ht="24">
      <c r="B16" s="62"/>
      <c r="C16" s="62"/>
      <c r="D16" s="62"/>
      <c r="E16" s="62"/>
      <c r="F16" s="62"/>
      <c r="G16" s="62"/>
      <c r="H16" s="15"/>
      <c r="K16" s="55"/>
      <c r="L16" s="11"/>
      <c r="N16" s="25"/>
      <c r="R16" s="11"/>
    </row>
    <row r="17" spans="2:21" ht="24">
      <c r="B17" s="62"/>
      <c r="C17" s="62"/>
      <c r="D17" s="62"/>
      <c r="E17" s="62"/>
      <c r="F17" s="62"/>
      <c r="G17" s="62"/>
      <c r="L17" s="11"/>
      <c r="R17" s="11"/>
    </row>
    <row r="18" spans="2:21" ht="24">
      <c r="B18" s="62"/>
      <c r="C18" s="62"/>
      <c r="D18" s="62"/>
      <c r="E18" s="62"/>
      <c r="F18" s="123"/>
      <c r="G18" s="62"/>
      <c r="L18" s="11"/>
      <c r="R18" s="11"/>
    </row>
    <row r="19" spans="2:21" ht="24">
      <c r="B19" s="62"/>
      <c r="C19" s="62"/>
      <c r="D19" s="62"/>
      <c r="E19" s="62"/>
      <c r="F19" s="124"/>
      <c r="G19" s="62"/>
      <c r="L19" s="11"/>
      <c r="R19" s="11"/>
    </row>
    <row r="20" spans="2:21" ht="24">
      <c r="B20" s="62"/>
      <c r="C20" s="62"/>
      <c r="D20" s="62"/>
      <c r="E20" s="62"/>
      <c r="F20" s="124"/>
      <c r="G20" s="62"/>
      <c r="L20" s="11"/>
      <c r="R20" s="11"/>
    </row>
    <row r="21" spans="2:21" ht="24">
      <c r="B21" s="62"/>
      <c r="C21" s="62"/>
      <c r="D21" s="62"/>
      <c r="E21" s="62"/>
      <c r="F21" s="62"/>
      <c r="G21" s="62"/>
    </row>
    <row r="22" spans="2:21" ht="24">
      <c r="B22" s="62"/>
      <c r="C22" s="62"/>
      <c r="D22" s="62"/>
      <c r="E22" s="62"/>
      <c r="F22" s="62"/>
      <c r="G22" s="62"/>
    </row>
    <row r="23" spans="2:21" ht="24">
      <c r="B23" s="62"/>
      <c r="C23" s="62"/>
      <c r="D23" s="62"/>
      <c r="E23" s="62"/>
      <c r="F23" s="62"/>
      <c r="G23" s="62"/>
    </row>
    <row r="24" spans="2:21" ht="24">
      <c r="B24" s="62"/>
      <c r="C24" s="62"/>
      <c r="D24" s="62"/>
      <c r="E24" s="62"/>
      <c r="F24" s="62"/>
      <c r="G24" s="62"/>
    </row>
    <row r="25" spans="2:21" ht="24">
      <c r="B25" s="62"/>
      <c r="C25" s="62"/>
      <c r="D25" s="62"/>
      <c r="E25" s="62"/>
      <c r="F25" s="62"/>
      <c r="G25" s="62"/>
    </row>
    <row r="26" spans="2:21" ht="24">
      <c r="B26" s="62"/>
      <c r="C26" s="62"/>
      <c r="D26" s="62"/>
      <c r="E26" s="62"/>
      <c r="F26" s="62"/>
      <c r="G26" s="62"/>
    </row>
    <row r="27" spans="2:21" ht="24">
      <c r="B27" s="62"/>
      <c r="C27" s="62"/>
      <c r="D27" s="62"/>
      <c r="E27" s="62"/>
      <c r="F27" s="62"/>
      <c r="G27" s="62"/>
    </row>
    <row r="28" spans="2:21" ht="24">
      <c r="B28" s="62"/>
      <c r="C28" s="62"/>
      <c r="D28" s="62"/>
      <c r="E28" s="62"/>
      <c r="F28" s="62"/>
    </row>
    <row r="32" spans="2:21" ht="24">
      <c r="U32" s="31"/>
    </row>
  </sheetData>
  <mergeCells count="6">
    <mergeCell ref="H6:L6"/>
    <mergeCell ref="N6:R6"/>
    <mergeCell ref="A1:R1"/>
    <mergeCell ref="A2:R2"/>
    <mergeCell ref="A3:R3"/>
    <mergeCell ref="A5:H5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F446-E40C-4D81-8EA2-B5454A916B9E}">
  <sheetPr>
    <tabColor rgb="FF92D050"/>
    <pageSetUpPr fitToPage="1"/>
  </sheetPr>
  <dimension ref="A1:P19"/>
  <sheetViews>
    <sheetView rightToLeft="1" view="pageBreakPreview" zoomScale="80" zoomScaleNormal="100" zoomScaleSheetLayoutView="80" workbookViewId="0">
      <selection activeCell="F10" sqref="F10"/>
    </sheetView>
  </sheetViews>
  <sheetFormatPr defaultColWidth="9.140625" defaultRowHeight="18"/>
  <cols>
    <col min="1" max="1" width="48" style="54" bestFit="1" customWidth="1"/>
    <col min="2" max="2" width="18.5703125" style="21" bestFit="1" customWidth="1"/>
    <col min="3" max="3" width="0.85546875" style="21" customWidth="1"/>
    <col min="4" max="4" width="19.5703125" style="21" bestFit="1" customWidth="1"/>
    <col min="5" max="5" width="0.7109375" style="21" customWidth="1"/>
    <col min="6" max="6" width="21.28515625" style="21" bestFit="1" customWidth="1"/>
    <col min="7" max="7" width="0.7109375" style="21" customWidth="1"/>
    <col min="8" max="8" width="18.5703125" style="21" bestFit="1" customWidth="1"/>
    <col min="9" max="9" width="0.5703125" style="21" customWidth="1"/>
    <col min="10" max="10" width="19.5703125" style="21" bestFit="1" customWidth="1"/>
    <col min="11" max="11" width="0.85546875" style="21" customWidth="1"/>
    <col min="12" max="12" width="21.28515625" style="21" bestFit="1" customWidth="1"/>
    <col min="13" max="16" width="9.140625" style="176"/>
    <col min="17" max="16384" width="9.140625" style="54"/>
  </cols>
  <sheetData>
    <row r="1" spans="1:16" ht="24.75">
      <c r="A1" s="263" t="s">
        <v>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6" ht="24.75">
      <c r="A2" s="263" t="s">
        <v>52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6" ht="24.75">
      <c r="A3" s="263" t="str">
        <f>' سهام'!$A$3</f>
        <v>برای ماه منتهی به 1403/10/30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</row>
    <row r="4" spans="1:16" ht="24.75">
      <c r="A4" s="264" t="s">
        <v>61</v>
      </c>
      <c r="B4" s="264"/>
      <c r="C4" s="18"/>
      <c r="D4" s="19"/>
      <c r="E4" s="19"/>
      <c r="F4" s="19"/>
      <c r="G4" s="19"/>
      <c r="H4" s="19"/>
      <c r="I4" s="19"/>
      <c r="J4" s="19"/>
      <c r="K4" s="19"/>
      <c r="L4" s="19"/>
    </row>
    <row r="5" spans="1:16" ht="24.75" customHeight="1" thickBot="1">
      <c r="A5" s="61"/>
      <c r="B5" s="329" t="str">
        <f>'درآمد سرمایه گذاری در سهام '!C7</f>
        <v>طی دی ماه</v>
      </c>
      <c r="C5" s="329"/>
      <c r="D5" s="329"/>
      <c r="E5" s="329"/>
      <c r="F5" s="329"/>
      <c r="G5" s="19"/>
      <c r="H5" s="329" t="str">
        <f>'درآمد سرمایه گذاری در سهام '!M7</f>
        <v>از ابتدای سال مالی تا پایان دی ماه</v>
      </c>
      <c r="I5" s="329"/>
      <c r="J5" s="329"/>
      <c r="K5" s="329"/>
      <c r="L5" s="329"/>
    </row>
    <row r="6" spans="1:16" ht="46.5" customHeight="1" thickBot="1">
      <c r="A6" s="63" t="s">
        <v>33</v>
      </c>
      <c r="B6" s="20" t="s">
        <v>53</v>
      </c>
      <c r="C6" s="115"/>
      <c r="D6" s="20" t="s">
        <v>35</v>
      </c>
      <c r="E6" s="115"/>
      <c r="F6" s="20" t="s">
        <v>37</v>
      </c>
      <c r="G6" s="19"/>
      <c r="H6" s="20" t="s">
        <v>53</v>
      </c>
      <c r="I6" s="115"/>
      <c r="J6" s="20" t="s">
        <v>35</v>
      </c>
      <c r="K6" s="115"/>
      <c r="L6" s="20" t="s">
        <v>37</v>
      </c>
    </row>
    <row r="7" spans="1:16" s="55" customFormat="1" ht="46.5" customHeight="1">
      <c r="A7" s="71" t="s">
        <v>127</v>
      </c>
      <c r="B7" s="31">
        <v>5621917</v>
      </c>
      <c r="C7" s="31"/>
      <c r="D7" s="31">
        <v>0</v>
      </c>
      <c r="E7" s="31"/>
      <c r="F7" s="31">
        <f>B7+D7</f>
        <v>5621917</v>
      </c>
      <c r="G7" s="31"/>
      <c r="H7" s="31">
        <v>16865751</v>
      </c>
      <c r="I7" s="31"/>
      <c r="J7" s="31">
        <v>0</v>
      </c>
      <c r="K7" s="31"/>
      <c r="L7" s="31">
        <f>H7+J7</f>
        <v>16865751</v>
      </c>
      <c r="M7" s="177"/>
      <c r="N7" s="177"/>
      <c r="O7" s="177"/>
      <c r="P7" s="177"/>
    </row>
    <row r="8" spans="1:16" s="55" customFormat="1" ht="46.5" customHeight="1">
      <c r="A8" s="71" t="s">
        <v>148</v>
      </c>
      <c r="B8" s="31">
        <v>4367860</v>
      </c>
      <c r="C8" s="31"/>
      <c r="D8" s="31">
        <v>0</v>
      </c>
      <c r="E8" s="31"/>
      <c r="F8" s="31">
        <f t="shared" ref="F8:F10" si="0">B8+D8</f>
        <v>4367860</v>
      </c>
      <c r="G8" s="31"/>
      <c r="H8" s="31">
        <v>5725117</v>
      </c>
      <c r="I8" s="31"/>
      <c r="J8" s="31">
        <v>0</v>
      </c>
      <c r="K8" s="31"/>
      <c r="L8" s="31">
        <f t="shared" ref="L8:L10" si="1">H8+J8</f>
        <v>5725117</v>
      </c>
      <c r="M8" s="177"/>
      <c r="N8" s="177"/>
      <c r="O8" s="177"/>
      <c r="P8" s="177"/>
    </row>
    <row r="9" spans="1:16" s="55" customFormat="1" ht="46.5" customHeight="1">
      <c r="A9" s="71" t="s">
        <v>94</v>
      </c>
      <c r="B9" s="31">
        <v>72002</v>
      </c>
      <c r="C9" s="31"/>
      <c r="D9" s="31">
        <v>0</v>
      </c>
      <c r="E9" s="31"/>
      <c r="F9" s="31">
        <f t="shared" ref="F9" si="2">B9+D9</f>
        <v>72002</v>
      </c>
      <c r="G9" s="31"/>
      <c r="H9" s="31">
        <v>152343</v>
      </c>
      <c r="I9" s="31"/>
      <c r="J9" s="31">
        <v>0</v>
      </c>
      <c r="K9" s="31"/>
      <c r="L9" s="31">
        <f t="shared" ref="L9" si="3">H9+J9</f>
        <v>152343</v>
      </c>
      <c r="M9" s="177"/>
      <c r="N9" s="177"/>
      <c r="O9" s="177"/>
      <c r="P9" s="177"/>
    </row>
    <row r="10" spans="1:16" s="55" customFormat="1" ht="46.5" customHeight="1">
      <c r="A10" s="71" t="s">
        <v>152</v>
      </c>
      <c r="B10" s="31">
        <v>734426224</v>
      </c>
      <c r="C10" s="31"/>
      <c r="D10" s="31">
        <v>0</v>
      </c>
      <c r="E10" s="31"/>
      <c r="F10" s="31">
        <f t="shared" si="0"/>
        <v>734426224</v>
      </c>
      <c r="G10" s="31"/>
      <c r="H10" s="31">
        <v>734426224</v>
      </c>
      <c r="I10" s="31"/>
      <c r="J10" s="31">
        <v>0</v>
      </c>
      <c r="K10" s="31"/>
      <c r="L10" s="31">
        <f t="shared" si="1"/>
        <v>734426224</v>
      </c>
      <c r="M10" s="177"/>
      <c r="N10" s="177"/>
      <c r="O10" s="177"/>
      <c r="P10" s="177"/>
    </row>
    <row r="11" spans="1:16" ht="47.45" customHeight="1" thickBot="1">
      <c r="A11" s="71"/>
      <c r="B11" s="73">
        <f>SUM(B7:B10)</f>
        <v>744488003</v>
      </c>
      <c r="C11" s="235"/>
      <c r="D11" s="73">
        <f>SUM(D7:D10)</f>
        <v>0</v>
      </c>
      <c r="E11" s="235"/>
      <c r="F11" s="73">
        <f>SUM(F7:F10)</f>
        <v>744488003</v>
      </c>
      <c r="G11" s="235"/>
      <c r="H11" s="73">
        <f>SUM(H7:H10)</f>
        <v>757169435</v>
      </c>
      <c r="I11" s="235"/>
      <c r="J11" s="73">
        <f>SUM(J7:J10)</f>
        <v>0</v>
      </c>
      <c r="K11" s="74"/>
      <c r="L11" s="73">
        <f>SUM(L7:L10)</f>
        <v>757169435</v>
      </c>
    </row>
    <row r="12" spans="1:16" ht="22.5" thickTop="1">
      <c r="C12" s="55"/>
      <c r="E12" s="55"/>
      <c r="G12" s="55"/>
      <c r="I12" s="55"/>
    </row>
    <row r="13" spans="1:16" ht="21.75">
      <c r="C13" s="55"/>
      <c r="E13" s="55"/>
      <c r="G13" s="55"/>
      <c r="I13" s="55"/>
    </row>
    <row r="14" spans="1:16" s="62" customFormat="1" ht="24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78"/>
      <c r="N14" s="178"/>
      <c r="O14" s="178"/>
      <c r="P14" s="178"/>
    </row>
    <row r="15" spans="1:16" ht="24">
      <c r="F15" s="31"/>
      <c r="G15" s="31"/>
      <c r="H15" s="31"/>
      <c r="I15" s="31"/>
      <c r="J15" s="31"/>
      <c r="K15" s="31"/>
      <c r="L15" s="31"/>
    </row>
    <row r="16" spans="1:16" ht="24">
      <c r="F16" s="31"/>
      <c r="G16" s="31"/>
      <c r="H16" s="31"/>
      <c r="I16" s="31"/>
      <c r="J16" s="31"/>
      <c r="K16" s="31"/>
      <c r="L16" s="31"/>
    </row>
    <row r="17" spans="6:12" ht="24">
      <c r="F17" s="31"/>
      <c r="G17" s="31"/>
      <c r="H17" s="31"/>
      <c r="I17" s="31"/>
      <c r="J17" s="31"/>
      <c r="K17" s="31"/>
      <c r="L17" s="31"/>
    </row>
    <row r="18" spans="6:12" ht="24">
      <c r="F18" s="31"/>
      <c r="G18" s="31"/>
      <c r="H18" s="31"/>
      <c r="I18" s="31"/>
      <c r="J18" s="31"/>
      <c r="K18" s="31"/>
      <c r="L18" s="31"/>
    </row>
    <row r="19" spans="6:12" ht="24">
      <c r="F19" s="31"/>
      <c r="G19" s="31"/>
      <c r="H19" s="31"/>
      <c r="I19" s="31"/>
      <c r="J19" s="31"/>
      <c r="K19" s="31"/>
      <c r="L19" s="31"/>
    </row>
  </sheetData>
  <autoFilter ref="A6:L6" xr:uid="{00000000-0009-0000-0000-000005000000}">
    <sortState xmlns:xlrd2="http://schemas.microsoft.com/office/spreadsheetml/2017/richdata2" ref="A7:L14">
      <sortCondition descending="1" ref="L6"/>
    </sortState>
  </autoFilter>
  <mergeCells count="6">
    <mergeCell ref="A1:L1"/>
    <mergeCell ref="A2:L2"/>
    <mergeCell ref="A3:L3"/>
    <mergeCell ref="A4:B4"/>
    <mergeCell ref="B5:F5"/>
    <mergeCell ref="H5:L5"/>
  </mergeCells>
  <printOptions horizontalCentered="1"/>
  <pageMargins left="0.25" right="0.25" top="0.75" bottom="0.75" header="0.3" footer="0.3"/>
  <pageSetup paperSize="9" scale="8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V82"/>
  <sheetViews>
    <sheetView rightToLeft="1" view="pageBreakPreview" zoomScale="80" zoomScaleNormal="100" zoomScaleSheetLayoutView="80" workbookViewId="0">
      <selection activeCell="G43" sqref="G43"/>
    </sheetView>
  </sheetViews>
  <sheetFormatPr defaultColWidth="9.140625" defaultRowHeight="17.25"/>
  <cols>
    <col min="1" max="1" width="30.85546875" style="1" customWidth="1"/>
    <col min="2" max="2" width="1.140625" style="1" customWidth="1"/>
    <col min="3" max="3" width="13.140625" style="1" bestFit="1" customWidth="1"/>
    <col min="4" max="4" width="0.85546875" style="1" customWidth="1"/>
    <col min="5" max="5" width="23.28515625" style="16" bestFit="1" customWidth="1"/>
    <col min="6" max="6" width="0.5703125" style="16" customWidth="1"/>
    <col min="7" max="7" width="22.140625" style="16" bestFit="1" customWidth="1"/>
    <col min="8" max="8" width="0.85546875" style="16" customWidth="1"/>
    <col min="9" max="9" width="23.7109375" style="32" bestFit="1" customWidth="1"/>
    <col min="10" max="10" width="0.5703125" style="32" customWidth="1"/>
    <col min="11" max="11" width="13.140625" style="32" bestFit="1" customWidth="1"/>
    <col min="12" max="12" width="0.42578125" style="32" customWidth="1"/>
    <col min="13" max="13" width="24" style="32" bestFit="1" customWidth="1"/>
    <col min="14" max="14" width="0.42578125" style="32" customWidth="1"/>
    <col min="15" max="15" width="22.140625" style="32" bestFit="1" customWidth="1"/>
    <col min="16" max="16" width="0.5703125" style="32" customWidth="1"/>
    <col min="17" max="17" width="22.85546875" style="32" bestFit="1" customWidth="1"/>
    <col min="18" max="18" width="9.5703125" style="1" bestFit="1" customWidth="1"/>
    <col min="19" max="20" width="12.5703125" style="1" bestFit="1" customWidth="1"/>
    <col min="21" max="16384" width="9.140625" style="1"/>
  </cols>
  <sheetData>
    <row r="1" spans="1:22" ht="22.5">
      <c r="A1" s="314" t="s">
        <v>87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22" ht="22.5">
      <c r="A2" s="314" t="s">
        <v>52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22" ht="22.5">
      <c r="A3" s="314" t="str">
        <f>' سهام'!$A$3</f>
        <v>برای ماه منتهی به 1403/10/30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22" ht="22.5">
      <c r="A4" s="334" t="s">
        <v>60</v>
      </c>
      <c r="B4" s="334"/>
      <c r="C4" s="334"/>
      <c r="D4" s="334"/>
      <c r="E4" s="334"/>
      <c r="F4" s="334"/>
      <c r="G4" s="334"/>
      <c r="H4" s="334"/>
      <c r="I4" s="334"/>
      <c r="J4" s="335"/>
      <c r="K4" s="335"/>
      <c r="L4" s="335"/>
      <c r="M4" s="335"/>
      <c r="N4" s="335"/>
      <c r="O4" s="335"/>
      <c r="P4" s="335"/>
      <c r="Q4" s="335"/>
    </row>
    <row r="5" spans="1:22" ht="20.25" customHeight="1" thickBot="1">
      <c r="A5" s="55"/>
      <c r="B5" s="55"/>
      <c r="C5" s="333" t="str">
        <f>'درآمد سرمایه گذاری در سهام '!C7</f>
        <v>طی دی ماه</v>
      </c>
      <c r="D5" s="333"/>
      <c r="E5" s="333"/>
      <c r="F5" s="333"/>
      <c r="G5" s="333"/>
      <c r="H5" s="333"/>
      <c r="I5" s="333"/>
      <c r="J5" s="2"/>
      <c r="K5" s="333" t="str">
        <f>'درآمد سرمایه گذاری در سهام '!M7</f>
        <v>از ابتدای سال مالی تا پایان دی ماه</v>
      </c>
      <c r="L5" s="333"/>
      <c r="M5" s="333"/>
      <c r="N5" s="333"/>
      <c r="O5" s="333"/>
      <c r="P5" s="333"/>
      <c r="Q5" s="333"/>
      <c r="U5" s="172"/>
      <c r="V5" s="172"/>
    </row>
    <row r="6" spans="1:22" ht="22.5" thickBot="1">
      <c r="A6" s="179" t="s">
        <v>33</v>
      </c>
      <c r="B6" s="179"/>
      <c r="C6" s="236" t="s">
        <v>3</v>
      </c>
      <c r="D6" s="237"/>
      <c r="E6" s="44" t="s">
        <v>41</v>
      </c>
      <c r="F6" s="45"/>
      <c r="G6" s="46" t="s">
        <v>38</v>
      </c>
      <c r="H6" s="45"/>
      <c r="I6" s="28" t="s">
        <v>42</v>
      </c>
      <c r="J6" s="2"/>
      <c r="K6" s="26" t="s">
        <v>3</v>
      </c>
      <c r="L6" s="27"/>
      <c r="M6" s="28" t="s">
        <v>18</v>
      </c>
      <c r="N6" s="27"/>
      <c r="O6" s="26" t="s">
        <v>38</v>
      </c>
      <c r="P6" s="27"/>
      <c r="Q6" s="28" t="s">
        <v>42</v>
      </c>
      <c r="U6" s="172"/>
      <c r="V6" s="172"/>
    </row>
    <row r="7" spans="1:22" s="180" customFormat="1" ht="21.75">
      <c r="A7" s="180" t="s">
        <v>134</v>
      </c>
      <c r="B7" s="181"/>
      <c r="C7" s="15">
        <v>0</v>
      </c>
      <c r="D7" s="15"/>
      <c r="E7" s="15">
        <v>0</v>
      </c>
      <c r="F7" s="15"/>
      <c r="G7" s="15">
        <v>0</v>
      </c>
      <c r="H7" s="15"/>
      <c r="I7" s="15">
        <f>E7+G7</f>
        <v>0</v>
      </c>
      <c r="J7" s="15"/>
      <c r="K7" s="15">
        <v>37255</v>
      </c>
      <c r="L7" s="15"/>
      <c r="M7" s="15">
        <v>1801301308</v>
      </c>
      <c r="N7" s="15"/>
      <c r="O7" s="15">
        <v>-1684275977</v>
      </c>
      <c r="P7" s="15"/>
      <c r="Q7" s="15">
        <f>M7+O7</f>
        <v>117025331</v>
      </c>
    </row>
    <row r="8" spans="1:22" s="180" customFormat="1" ht="21.75">
      <c r="A8" s="180" t="s">
        <v>130</v>
      </c>
      <c r="B8" s="181"/>
      <c r="C8" s="15">
        <v>0</v>
      </c>
      <c r="D8" s="15"/>
      <c r="E8" s="15">
        <v>0</v>
      </c>
      <c r="F8" s="15"/>
      <c r="G8" s="15">
        <v>0</v>
      </c>
      <c r="H8" s="15"/>
      <c r="I8" s="15">
        <f t="shared" ref="I8:I34" si="0">E8+G8</f>
        <v>0</v>
      </c>
      <c r="J8" s="15"/>
      <c r="K8" s="15">
        <v>272438</v>
      </c>
      <c r="L8" s="15"/>
      <c r="M8" s="15">
        <v>1102857518</v>
      </c>
      <c r="N8" s="15"/>
      <c r="O8" s="15">
        <v>-1091663307</v>
      </c>
      <c r="P8" s="15"/>
      <c r="Q8" s="15">
        <f t="shared" ref="Q8:Q34" si="1">M8+O8</f>
        <v>11194211</v>
      </c>
    </row>
    <row r="9" spans="1:22" s="180" customFormat="1" ht="21.75">
      <c r="A9" s="180" t="s">
        <v>131</v>
      </c>
      <c r="B9" s="181"/>
      <c r="C9" s="15">
        <v>0</v>
      </c>
      <c r="D9" s="15"/>
      <c r="E9" s="15">
        <v>0</v>
      </c>
      <c r="F9" s="15"/>
      <c r="G9" s="15">
        <v>0</v>
      </c>
      <c r="H9" s="15"/>
      <c r="I9" s="15">
        <f t="shared" si="0"/>
        <v>0</v>
      </c>
      <c r="J9" s="15"/>
      <c r="K9" s="15">
        <v>56549</v>
      </c>
      <c r="L9" s="15"/>
      <c r="M9" s="15">
        <v>1410372499</v>
      </c>
      <c r="N9" s="15"/>
      <c r="O9" s="15">
        <v>-1294574650</v>
      </c>
      <c r="P9" s="15"/>
      <c r="Q9" s="15">
        <f t="shared" si="1"/>
        <v>115797849</v>
      </c>
    </row>
    <row r="10" spans="1:22" s="180" customFormat="1" ht="21.75">
      <c r="A10" s="180" t="s">
        <v>96</v>
      </c>
      <c r="B10" s="181"/>
      <c r="C10" s="15">
        <v>0</v>
      </c>
      <c r="D10" s="15"/>
      <c r="E10" s="15">
        <v>0</v>
      </c>
      <c r="F10" s="15"/>
      <c r="G10" s="15">
        <v>0</v>
      </c>
      <c r="H10" s="15"/>
      <c r="I10" s="15">
        <f t="shared" si="0"/>
        <v>0</v>
      </c>
      <c r="J10" s="15"/>
      <c r="K10" s="15">
        <v>377</v>
      </c>
      <c r="L10" s="15"/>
      <c r="M10" s="15">
        <v>19082625</v>
      </c>
      <c r="N10" s="15"/>
      <c r="O10" s="15">
        <v>-16024607</v>
      </c>
      <c r="P10" s="15"/>
      <c r="Q10" s="15">
        <f t="shared" si="1"/>
        <v>3058018</v>
      </c>
    </row>
    <row r="11" spans="1:22" s="180" customFormat="1" ht="21.75">
      <c r="A11" s="180" t="s">
        <v>98</v>
      </c>
      <c r="B11" s="181"/>
      <c r="C11" s="15">
        <v>0</v>
      </c>
      <c r="D11" s="15"/>
      <c r="E11" s="15">
        <v>0</v>
      </c>
      <c r="F11" s="15"/>
      <c r="G11" s="15">
        <v>0</v>
      </c>
      <c r="H11" s="15"/>
      <c r="I11" s="15">
        <f t="shared" si="0"/>
        <v>0</v>
      </c>
      <c r="J11" s="15"/>
      <c r="K11" s="15">
        <v>45721</v>
      </c>
      <c r="L11" s="15"/>
      <c r="M11" s="15">
        <v>486758370</v>
      </c>
      <c r="N11" s="15"/>
      <c r="O11" s="15">
        <v>-482213471</v>
      </c>
      <c r="P11" s="15"/>
      <c r="Q11" s="15">
        <f t="shared" si="1"/>
        <v>4544899</v>
      </c>
    </row>
    <row r="12" spans="1:22" s="180" customFormat="1" ht="21.75">
      <c r="A12" s="180" t="s">
        <v>101</v>
      </c>
      <c r="B12" s="181"/>
      <c r="C12" s="15">
        <v>0</v>
      </c>
      <c r="D12" s="15"/>
      <c r="E12" s="15">
        <v>0</v>
      </c>
      <c r="F12" s="15"/>
      <c r="G12" s="15">
        <v>0</v>
      </c>
      <c r="H12" s="15"/>
      <c r="I12" s="15">
        <f t="shared" si="0"/>
        <v>0</v>
      </c>
      <c r="J12" s="15"/>
      <c r="K12" s="15">
        <v>244719</v>
      </c>
      <c r="L12" s="15"/>
      <c r="M12" s="15">
        <v>1381733424</v>
      </c>
      <c r="N12" s="15"/>
      <c r="O12" s="15">
        <v>-1503364860</v>
      </c>
      <c r="P12" s="15"/>
      <c r="Q12" s="15">
        <f t="shared" si="1"/>
        <v>-121631436</v>
      </c>
    </row>
    <row r="13" spans="1:22" s="180" customFormat="1" ht="21.75">
      <c r="A13" s="180" t="s">
        <v>110</v>
      </c>
      <c r="B13" s="181"/>
      <c r="C13" s="15">
        <v>0</v>
      </c>
      <c r="D13" s="15"/>
      <c r="E13" s="15">
        <v>0</v>
      </c>
      <c r="F13" s="15"/>
      <c r="G13" s="15">
        <v>0</v>
      </c>
      <c r="H13" s="15"/>
      <c r="I13" s="15">
        <f t="shared" si="0"/>
        <v>0</v>
      </c>
      <c r="J13" s="15"/>
      <c r="K13" s="15">
        <v>44427</v>
      </c>
      <c r="L13" s="15"/>
      <c r="M13" s="15">
        <v>1063157493</v>
      </c>
      <c r="N13" s="15"/>
      <c r="O13" s="15">
        <v>-1050188042</v>
      </c>
      <c r="P13" s="15"/>
      <c r="Q13" s="15">
        <f t="shared" si="1"/>
        <v>12969451</v>
      </c>
    </row>
    <row r="14" spans="1:22" s="180" customFormat="1" ht="21.75">
      <c r="A14" s="180" t="s">
        <v>132</v>
      </c>
      <c r="B14" s="181"/>
      <c r="C14" s="15">
        <v>0</v>
      </c>
      <c r="D14" s="15"/>
      <c r="E14" s="15">
        <v>0</v>
      </c>
      <c r="F14" s="15"/>
      <c r="G14" s="15">
        <v>0</v>
      </c>
      <c r="H14" s="15"/>
      <c r="I14" s="15">
        <f t="shared" si="0"/>
        <v>0</v>
      </c>
      <c r="J14" s="15"/>
      <c r="K14" s="15">
        <v>30000</v>
      </c>
      <c r="L14" s="15"/>
      <c r="M14" s="15">
        <v>2291086441</v>
      </c>
      <c r="N14" s="15"/>
      <c r="O14" s="15">
        <v>-1901977589</v>
      </c>
      <c r="P14" s="15"/>
      <c r="Q14" s="15">
        <f t="shared" si="1"/>
        <v>389108852</v>
      </c>
    </row>
    <row r="15" spans="1:22" s="180" customFormat="1" ht="21.75">
      <c r="A15" s="180" t="s">
        <v>126</v>
      </c>
      <c r="B15" s="181"/>
      <c r="C15" s="15">
        <v>180000</v>
      </c>
      <c r="D15" s="15"/>
      <c r="E15" s="15">
        <v>4043821270</v>
      </c>
      <c r="F15" s="15"/>
      <c r="G15" s="15">
        <v>-2687513583</v>
      </c>
      <c r="H15" s="15"/>
      <c r="I15" s="15">
        <f t="shared" si="0"/>
        <v>1356307687</v>
      </c>
      <c r="J15" s="15"/>
      <c r="K15" s="15">
        <v>186362</v>
      </c>
      <c r="L15" s="15"/>
      <c r="M15" s="15">
        <v>4176628340</v>
      </c>
      <c r="N15" s="15"/>
      <c r="O15" s="15">
        <v>-2782502258</v>
      </c>
      <c r="P15" s="15"/>
      <c r="Q15" s="15">
        <f t="shared" si="1"/>
        <v>1394126082</v>
      </c>
    </row>
    <row r="16" spans="1:22" s="180" customFormat="1" ht="21.75">
      <c r="A16" s="180" t="s">
        <v>133</v>
      </c>
      <c r="B16" s="181"/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223</v>
      </c>
      <c r="L16" s="15"/>
      <c r="M16" s="15">
        <v>5253657</v>
      </c>
      <c r="N16" s="15"/>
      <c r="O16" s="15">
        <v>-4378044</v>
      </c>
      <c r="P16" s="15"/>
      <c r="Q16" s="15">
        <f t="shared" si="1"/>
        <v>875613</v>
      </c>
    </row>
    <row r="17" spans="1:17" s="180" customFormat="1" ht="21.75">
      <c r="A17" s="180" t="s">
        <v>99</v>
      </c>
      <c r="B17" s="181"/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5">
        <v>675</v>
      </c>
      <c r="L17" s="15"/>
      <c r="M17" s="15">
        <v>22952122</v>
      </c>
      <c r="N17" s="15"/>
      <c r="O17" s="15">
        <v>-17566354</v>
      </c>
      <c r="P17" s="15"/>
      <c r="Q17" s="15">
        <f t="shared" si="1"/>
        <v>5385768</v>
      </c>
    </row>
    <row r="18" spans="1:17" s="180" customFormat="1" ht="21.75">
      <c r="A18" s="180" t="s">
        <v>135</v>
      </c>
      <c r="B18" s="181"/>
      <c r="C18" s="15">
        <v>0</v>
      </c>
      <c r="D18" s="15"/>
      <c r="E18" s="15">
        <v>0</v>
      </c>
      <c r="F18" s="15"/>
      <c r="G18" s="15">
        <v>0</v>
      </c>
      <c r="H18" s="15"/>
      <c r="I18" s="15">
        <f t="shared" si="0"/>
        <v>0</v>
      </c>
      <c r="J18" s="15"/>
      <c r="K18" s="15">
        <v>7362</v>
      </c>
      <c r="L18" s="15"/>
      <c r="M18" s="15">
        <v>210418026</v>
      </c>
      <c r="N18" s="15"/>
      <c r="O18" s="15">
        <v>-181857174</v>
      </c>
      <c r="P18" s="15"/>
      <c r="Q18" s="15">
        <f t="shared" si="1"/>
        <v>28560852</v>
      </c>
    </row>
    <row r="19" spans="1:17" s="180" customFormat="1" ht="21.75">
      <c r="A19" s="180" t="s">
        <v>88</v>
      </c>
      <c r="B19" s="181"/>
      <c r="C19" s="15">
        <v>300000</v>
      </c>
      <c r="D19" s="15"/>
      <c r="E19" s="15">
        <v>2786132621</v>
      </c>
      <c r="F19" s="15"/>
      <c r="G19" s="15">
        <v>-2034701704</v>
      </c>
      <c r="H19" s="15"/>
      <c r="I19" s="15">
        <f t="shared" si="0"/>
        <v>751430917</v>
      </c>
      <c r="J19" s="15"/>
      <c r="K19" s="15">
        <v>308632</v>
      </c>
      <c r="L19" s="15"/>
      <c r="M19" s="15">
        <v>2859325482</v>
      </c>
      <c r="N19" s="15"/>
      <c r="O19" s="15">
        <v>-2093246854</v>
      </c>
      <c r="P19" s="15"/>
      <c r="Q19" s="15">
        <f t="shared" si="1"/>
        <v>766078628</v>
      </c>
    </row>
    <row r="20" spans="1:17" s="180" customFormat="1" ht="21.75">
      <c r="A20" s="180" t="s">
        <v>89</v>
      </c>
      <c r="B20" s="181"/>
      <c r="C20" s="15">
        <v>260000</v>
      </c>
      <c r="D20" s="15"/>
      <c r="E20" s="15">
        <v>7174434771</v>
      </c>
      <c r="F20" s="15"/>
      <c r="G20" s="15">
        <v>-5107031282</v>
      </c>
      <c r="H20" s="15"/>
      <c r="I20" s="15">
        <f t="shared" si="0"/>
        <v>2067403489</v>
      </c>
      <c r="J20" s="15"/>
      <c r="K20" s="15">
        <v>268627</v>
      </c>
      <c r="L20" s="15"/>
      <c r="M20" s="15">
        <v>7355381404</v>
      </c>
      <c r="N20" s="15"/>
      <c r="O20" s="15">
        <v>-5276486509</v>
      </c>
      <c r="P20" s="15"/>
      <c r="Q20" s="15">
        <f t="shared" si="1"/>
        <v>2078894895</v>
      </c>
    </row>
    <row r="21" spans="1:17" s="180" customFormat="1" ht="21.75">
      <c r="A21" s="180" t="s">
        <v>97</v>
      </c>
      <c r="B21" s="181"/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988</v>
      </c>
      <c r="L21" s="15"/>
      <c r="M21" s="15">
        <v>37811676</v>
      </c>
      <c r="N21" s="15"/>
      <c r="O21" s="15">
        <v>-28432415</v>
      </c>
      <c r="P21" s="15"/>
      <c r="Q21" s="15">
        <f t="shared" si="1"/>
        <v>9379261</v>
      </c>
    </row>
    <row r="22" spans="1:17" s="180" customFormat="1" ht="21.75">
      <c r="A22" s="180" t="s">
        <v>93</v>
      </c>
      <c r="B22" s="181"/>
      <c r="C22" s="15">
        <v>734936</v>
      </c>
      <c r="D22" s="15"/>
      <c r="E22" s="15">
        <v>2326088119</v>
      </c>
      <c r="F22" s="15"/>
      <c r="G22" s="15">
        <v>-1952064690</v>
      </c>
      <c r="H22" s="15"/>
      <c r="I22" s="15">
        <f t="shared" si="0"/>
        <v>374023429</v>
      </c>
      <c r="J22" s="15"/>
      <c r="K22" s="15">
        <v>745199</v>
      </c>
      <c r="L22" s="15"/>
      <c r="M22" s="15">
        <v>2358189990</v>
      </c>
      <c r="N22" s="15"/>
      <c r="O22" s="15">
        <v>-1979324260</v>
      </c>
      <c r="P22" s="15"/>
      <c r="Q22" s="15">
        <f t="shared" si="1"/>
        <v>378865730</v>
      </c>
    </row>
    <row r="23" spans="1:17" s="180" customFormat="1" ht="21.75">
      <c r="A23" s="180" t="s">
        <v>102</v>
      </c>
      <c r="B23" s="181"/>
      <c r="C23" s="15">
        <v>1100000</v>
      </c>
      <c r="D23" s="15"/>
      <c r="E23" s="15">
        <v>4397180212</v>
      </c>
      <c r="F23" s="15"/>
      <c r="G23" s="15">
        <v>-2875786653</v>
      </c>
      <c r="H23" s="15"/>
      <c r="I23" s="15">
        <f t="shared" si="0"/>
        <v>1521393559</v>
      </c>
      <c r="J23" s="15"/>
      <c r="K23" s="15">
        <v>1102916</v>
      </c>
      <c r="L23" s="15"/>
      <c r="M23" s="15">
        <v>4406844314</v>
      </c>
      <c r="N23" s="15"/>
      <c r="O23" s="15">
        <v>-2883410101</v>
      </c>
      <c r="P23" s="15"/>
      <c r="Q23" s="15">
        <f t="shared" si="1"/>
        <v>1523434213</v>
      </c>
    </row>
    <row r="24" spans="1:17" s="180" customFormat="1" ht="21.75">
      <c r="A24" s="180" t="s">
        <v>109</v>
      </c>
      <c r="B24" s="181"/>
      <c r="C24" s="15">
        <v>120000</v>
      </c>
      <c r="D24" s="15"/>
      <c r="E24" s="15">
        <v>2100626495</v>
      </c>
      <c r="F24" s="15"/>
      <c r="G24" s="15">
        <v>-1253695863</v>
      </c>
      <c r="H24" s="15"/>
      <c r="I24" s="15">
        <f t="shared" si="0"/>
        <v>846930632</v>
      </c>
      <c r="J24" s="15"/>
      <c r="K24" s="15">
        <v>128894</v>
      </c>
      <c r="L24" s="15"/>
      <c r="M24" s="15">
        <v>2236248681</v>
      </c>
      <c r="N24" s="15"/>
      <c r="O24" s="15">
        <v>-1346615621</v>
      </c>
      <c r="P24" s="15"/>
      <c r="Q24" s="15">
        <f t="shared" si="1"/>
        <v>889633060</v>
      </c>
    </row>
    <row r="25" spans="1:17" s="180" customFormat="1" ht="21.75">
      <c r="A25" s="180" t="s">
        <v>111</v>
      </c>
      <c r="B25" s="181"/>
      <c r="C25" s="15">
        <v>0</v>
      </c>
      <c r="D25" s="15"/>
      <c r="E25" s="15">
        <v>0</v>
      </c>
      <c r="F25" s="15"/>
      <c r="G25" s="15">
        <v>0</v>
      </c>
      <c r="H25" s="15"/>
      <c r="I25" s="15">
        <f t="shared" si="0"/>
        <v>0</v>
      </c>
      <c r="J25" s="15"/>
      <c r="K25" s="15">
        <v>50722</v>
      </c>
      <c r="L25" s="15"/>
      <c r="M25" s="15">
        <v>65571729</v>
      </c>
      <c r="N25" s="15"/>
      <c r="O25" s="15">
        <v>-55008443</v>
      </c>
      <c r="P25" s="15"/>
      <c r="Q25" s="15">
        <f t="shared" si="1"/>
        <v>10563286</v>
      </c>
    </row>
    <row r="26" spans="1:17" s="180" customFormat="1" ht="21.75">
      <c r="A26" s="180" t="s">
        <v>90</v>
      </c>
      <c r="B26" s="181"/>
      <c r="C26" s="15">
        <v>200000</v>
      </c>
      <c r="D26" s="15"/>
      <c r="E26" s="15">
        <v>5057726414</v>
      </c>
      <c r="F26" s="15"/>
      <c r="G26" s="15">
        <v>-3414184241</v>
      </c>
      <c r="H26" s="15"/>
      <c r="I26" s="15">
        <f t="shared" si="0"/>
        <v>1643542173</v>
      </c>
      <c r="J26" s="15"/>
      <c r="K26" s="15">
        <v>200000</v>
      </c>
      <c r="L26" s="15"/>
      <c r="M26" s="15">
        <v>5057726414</v>
      </c>
      <c r="N26" s="15"/>
      <c r="O26" s="15">
        <v>-3414184241</v>
      </c>
      <c r="P26" s="15"/>
      <c r="Q26" s="15">
        <f t="shared" si="1"/>
        <v>1643542173</v>
      </c>
    </row>
    <row r="27" spans="1:17" s="180" customFormat="1" ht="21.75">
      <c r="A27" s="180" t="s">
        <v>139</v>
      </c>
      <c r="B27" s="181"/>
      <c r="C27" s="15">
        <v>1000000</v>
      </c>
      <c r="D27" s="15"/>
      <c r="E27" s="15">
        <v>1868489558</v>
      </c>
      <c r="F27" s="15"/>
      <c r="G27" s="15">
        <v>-2007461171</v>
      </c>
      <c r="H27" s="15"/>
      <c r="I27" s="15">
        <f t="shared" si="0"/>
        <v>-138971613</v>
      </c>
      <c r="J27" s="15"/>
      <c r="K27" s="15">
        <v>1000000</v>
      </c>
      <c r="L27" s="15"/>
      <c r="M27" s="15">
        <v>1868489558</v>
      </c>
      <c r="N27" s="15"/>
      <c r="O27" s="15">
        <v>-2007461171</v>
      </c>
      <c r="P27" s="15"/>
      <c r="Q27" s="15">
        <f t="shared" si="1"/>
        <v>-138971613</v>
      </c>
    </row>
    <row r="28" spans="1:17" s="180" customFormat="1" ht="21.75">
      <c r="A28" s="180" t="s">
        <v>140</v>
      </c>
      <c r="B28" s="181"/>
      <c r="C28" s="15">
        <v>400000</v>
      </c>
      <c r="D28" s="15"/>
      <c r="E28" s="15">
        <v>4059700214</v>
      </c>
      <c r="F28" s="15"/>
      <c r="G28" s="15">
        <v>-3487163454</v>
      </c>
      <c r="H28" s="15"/>
      <c r="I28" s="15">
        <f t="shared" si="0"/>
        <v>572536760</v>
      </c>
      <c r="J28" s="15"/>
      <c r="K28" s="15">
        <v>400000</v>
      </c>
      <c r="L28" s="15"/>
      <c r="M28" s="15">
        <v>4059700214</v>
      </c>
      <c r="N28" s="15"/>
      <c r="O28" s="15">
        <v>-3487163454</v>
      </c>
      <c r="P28" s="15"/>
      <c r="Q28" s="15">
        <f t="shared" si="1"/>
        <v>572536760</v>
      </c>
    </row>
    <row r="29" spans="1:17" s="180" customFormat="1" ht="21.75">
      <c r="A29" s="180" t="s">
        <v>92</v>
      </c>
      <c r="B29" s="181"/>
      <c r="C29" s="15">
        <v>438428</v>
      </c>
      <c r="D29" s="15"/>
      <c r="E29" s="15">
        <v>3120466586</v>
      </c>
      <c r="F29" s="15"/>
      <c r="G29" s="15">
        <v>-2706438188</v>
      </c>
      <c r="H29" s="15"/>
      <c r="I29" s="15">
        <f t="shared" si="0"/>
        <v>414028398</v>
      </c>
      <c r="J29" s="15"/>
      <c r="K29" s="15">
        <v>438428</v>
      </c>
      <c r="L29" s="15"/>
      <c r="M29" s="15">
        <v>3120466586</v>
      </c>
      <c r="N29" s="15"/>
      <c r="O29" s="15">
        <v>-2706438188</v>
      </c>
      <c r="P29" s="15"/>
      <c r="Q29" s="15">
        <f t="shared" si="1"/>
        <v>414028398</v>
      </c>
    </row>
    <row r="30" spans="1:17" s="180" customFormat="1" ht="21.75">
      <c r="A30" s="180" t="s">
        <v>136</v>
      </c>
      <c r="B30" s="181"/>
      <c r="C30" s="15">
        <v>150000</v>
      </c>
      <c r="D30" s="15"/>
      <c r="E30" s="15">
        <v>4689430918</v>
      </c>
      <c r="F30" s="15"/>
      <c r="G30" s="15">
        <v>-3373184602</v>
      </c>
      <c r="H30" s="15"/>
      <c r="I30" s="15">
        <f t="shared" si="0"/>
        <v>1316246316</v>
      </c>
      <c r="J30" s="15"/>
      <c r="K30" s="15">
        <v>150000</v>
      </c>
      <c r="L30" s="15"/>
      <c r="M30" s="15">
        <v>4689430918</v>
      </c>
      <c r="N30" s="15"/>
      <c r="O30" s="15">
        <v>-3373184602</v>
      </c>
      <c r="P30" s="15"/>
      <c r="Q30" s="15">
        <f t="shared" si="1"/>
        <v>1316246316</v>
      </c>
    </row>
    <row r="31" spans="1:17" s="180" customFormat="1" ht="21.75">
      <c r="A31" s="180" t="s">
        <v>147</v>
      </c>
      <c r="B31" s="181"/>
      <c r="C31" s="15">
        <v>-23000000</v>
      </c>
      <c r="D31" s="15"/>
      <c r="E31" s="15">
        <v>5016156487</v>
      </c>
      <c r="F31" s="15"/>
      <c r="G31" s="15">
        <v>-5015914000</v>
      </c>
      <c r="H31" s="15"/>
      <c r="I31" s="15">
        <f>E31+G31</f>
        <v>242487</v>
      </c>
      <c r="J31" s="15"/>
      <c r="K31" s="15">
        <v>-23000000</v>
      </c>
      <c r="L31" s="15"/>
      <c r="M31" s="15">
        <v>5016156487</v>
      </c>
      <c r="N31" s="15"/>
      <c r="O31" s="15">
        <v>-5015914000</v>
      </c>
      <c r="P31" s="15"/>
      <c r="Q31" s="15">
        <f>M31+O31</f>
        <v>242487</v>
      </c>
    </row>
    <row r="32" spans="1:17" s="180" customFormat="1" ht="21.75">
      <c r="A32" s="180" t="s">
        <v>114</v>
      </c>
      <c r="B32" s="181"/>
      <c r="C32" s="15">
        <v>0</v>
      </c>
      <c r="D32" s="15"/>
      <c r="E32" s="15">
        <v>0</v>
      </c>
      <c r="F32" s="15"/>
      <c r="G32" s="15">
        <v>0</v>
      </c>
      <c r="H32" s="15"/>
      <c r="I32" s="15">
        <f t="shared" si="0"/>
        <v>0</v>
      </c>
      <c r="J32" s="15"/>
      <c r="K32" s="15">
        <v>42</v>
      </c>
      <c r="L32" s="15"/>
      <c r="M32" s="15">
        <v>32250388</v>
      </c>
      <c r="N32" s="15"/>
      <c r="O32" s="15">
        <v>-30612450</v>
      </c>
      <c r="P32" s="15"/>
      <c r="Q32" s="15">
        <f t="shared" si="1"/>
        <v>1637938</v>
      </c>
    </row>
    <row r="33" spans="1:17" s="180" customFormat="1" ht="21.75">
      <c r="A33" s="180" t="s">
        <v>103</v>
      </c>
      <c r="B33" s="181"/>
      <c r="C33" s="15">
        <v>0</v>
      </c>
      <c r="D33" s="15"/>
      <c r="E33" s="15">
        <v>0</v>
      </c>
      <c r="F33" s="15"/>
      <c r="G33" s="15">
        <v>0</v>
      </c>
      <c r="H33" s="15"/>
      <c r="I33" s="15">
        <f t="shared" si="0"/>
        <v>0</v>
      </c>
      <c r="J33" s="15"/>
      <c r="K33" s="15">
        <v>3155</v>
      </c>
      <c r="L33" s="15"/>
      <c r="M33" s="15">
        <v>2642111034</v>
      </c>
      <c r="N33" s="15"/>
      <c r="O33" s="15">
        <v>-2519599489</v>
      </c>
      <c r="P33" s="15"/>
      <c r="Q33" s="15">
        <f t="shared" si="1"/>
        <v>122511545</v>
      </c>
    </row>
    <row r="34" spans="1:17" s="180" customFormat="1" ht="21.75">
      <c r="A34" s="180" t="s">
        <v>104</v>
      </c>
      <c r="B34" s="181"/>
      <c r="C34" s="15">
        <v>0</v>
      </c>
      <c r="D34" s="15"/>
      <c r="E34" s="15">
        <v>0</v>
      </c>
      <c r="F34" s="15"/>
      <c r="G34" s="15">
        <v>0</v>
      </c>
      <c r="H34" s="15"/>
      <c r="I34" s="15">
        <f t="shared" si="0"/>
        <v>0</v>
      </c>
      <c r="J34" s="15"/>
      <c r="K34" s="15">
        <v>1067</v>
      </c>
      <c r="L34" s="15"/>
      <c r="M34" s="15">
        <v>712114748</v>
      </c>
      <c r="N34" s="15"/>
      <c r="O34" s="15">
        <v>-666946153</v>
      </c>
      <c r="P34" s="15"/>
      <c r="Q34" s="15">
        <f t="shared" si="1"/>
        <v>45168595</v>
      </c>
    </row>
    <row r="35" spans="1:17" ht="22.5" thickBot="1">
      <c r="A35" s="52" t="s">
        <v>2</v>
      </c>
      <c r="B35" s="52"/>
      <c r="C35" s="52"/>
      <c r="D35" s="231"/>
      <c r="E35" s="72">
        <f>SUM(E7:E34)</f>
        <v>46640253665</v>
      </c>
      <c r="F35" s="15"/>
      <c r="G35" s="72">
        <f>SUM(G7:G34)</f>
        <v>-35915139431</v>
      </c>
      <c r="H35" s="15"/>
      <c r="I35" s="72">
        <f>SUM(I7:I34)</f>
        <v>10725114234</v>
      </c>
      <c r="J35" s="69"/>
      <c r="K35" s="238"/>
      <c r="L35" s="239"/>
      <c r="M35" s="72">
        <f>SUM(M7:M34)</f>
        <v>60489421446</v>
      </c>
      <c r="N35" s="15"/>
      <c r="O35" s="72">
        <f>SUM(O7:O34)</f>
        <v>-48894614284</v>
      </c>
      <c r="P35" s="15"/>
      <c r="Q35" s="72">
        <f>SUM(Q7:Q34)</f>
        <v>11594807162</v>
      </c>
    </row>
    <row r="36" spans="1:17" ht="23.25" thickTop="1">
      <c r="E36" s="47"/>
      <c r="F36" s="1"/>
      <c r="G36" s="47"/>
      <c r="H36" s="47"/>
      <c r="I36" s="47"/>
      <c r="J36" s="1"/>
      <c r="K36" s="1"/>
      <c r="L36" s="1"/>
      <c r="M36" s="49"/>
      <c r="N36" s="1"/>
      <c r="O36" s="49"/>
      <c r="P36" s="1"/>
      <c r="Q36" s="49"/>
    </row>
    <row r="37" spans="1:17" ht="22.5">
      <c r="E37" s="47"/>
      <c r="F37" s="1"/>
      <c r="G37" s="47"/>
      <c r="H37" s="1"/>
      <c r="I37" s="47"/>
      <c r="J37" s="1"/>
      <c r="K37" s="1"/>
      <c r="L37" s="1"/>
      <c r="M37" s="47"/>
      <c r="N37" s="1"/>
      <c r="O37" s="47"/>
      <c r="P37" s="1"/>
      <c r="Q37" s="47"/>
    </row>
    <row r="38" spans="1:17" ht="10.5" customHeight="1">
      <c r="A38" s="55"/>
      <c r="B38" s="55"/>
      <c r="C38" s="55"/>
      <c r="D38" s="55"/>
      <c r="E38" s="43"/>
      <c r="F38" s="43"/>
      <c r="G38" s="43"/>
      <c r="H38" s="43"/>
      <c r="I38" s="2"/>
      <c r="J38" s="2"/>
      <c r="K38" s="2"/>
      <c r="L38" s="2"/>
      <c r="M38" s="2"/>
      <c r="N38" s="2"/>
      <c r="O38" s="2"/>
      <c r="P38" s="2"/>
      <c r="Q38" s="2"/>
    </row>
    <row r="39" spans="1:17" ht="21.75">
      <c r="A39" s="330" t="s">
        <v>40</v>
      </c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2"/>
    </row>
    <row r="40" spans="1:17" ht="6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s="15" customFormat="1" ht="21.75"/>
    <row r="42" spans="1:17" s="15" customFormat="1" ht="21.75"/>
    <row r="43" spans="1:17" s="15" customFormat="1" ht="21.75"/>
    <row r="44" spans="1:17" s="15" customFormat="1" ht="22.5">
      <c r="I44" s="129"/>
      <c r="Q44" s="129"/>
    </row>
    <row r="45" spans="1:17" s="15" customFormat="1" ht="24">
      <c r="E45" s="31"/>
      <c r="F45" s="2"/>
      <c r="G45" s="2"/>
      <c r="I45" s="129"/>
      <c r="M45" s="31"/>
      <c r="N45" s="2"/>
      <c r="O45" s="2"/>
      <c r="Q45" s="129"/>
    </row>
    <row r="46" spans="1:17" s="15" customFormat="1" ht="24">
      <c r="E46" s="31"/>
      <c r="F46" s="2"/>
      <c r="G46" s="2"/>
      <c r="I46" s="129"/>
      <c r="M46" s="31"/>
      <c r="N46" s="2"/>
      <c r="O46" s="2"/>
      <c r="Q46" s="129"/>
    </row>
    <row r="47" spans="1:17" s="15" customFormat="1" ht="24">
      <c r="E47" s="31"/>
      <c r="F47" s="31"/>
      <c r="G47" s="31"/>
      <c r="M47" s="31"/>
      <c r="N47" s="31"/>
      <c r="O47" s="31"/>
    </row>
    <row r="48" spans="1:17" s="15" customFormat="1" ht="24">
      <c r="E48" s="31"/>
      <c r="F48" s="31"/>
      <c r="G48" s="31"/>
      <c r="M48" s="31"/>
      <c r="N48" s="31"/>
      <c r="O48" s="31"/>
    </row>
    <row r="49" s="15" customFormat="1" ht="21.75"/>
    <row r="50" s="15" customFormat="1" ht="21.75"/>
    <row r="51" s="15" customFormat="1" ht="21.75"/>
    <row r="52" s="15" customFormat="1" ht="21.75"/>
    <row r="53" s="15" customFormat="1" ht="21.75"/>
    <row r="54" s="15" customFormat="1" ht="21.75"/>
    <row r="55" s="15" customFormat="1" ht="21.75"/>
    <row r="56" s="15" customFormat="1" ht="21.75"/>
    <row r="57" s="15" customFormat="1" ht="21.75"/>
    <row r="58" s="15" customFormat="1" ht="21.75"/>
    <row r="59" s="15" customFormat="1" ht="21.75"/>
    <row r="60" s="15" customFormat="1" ht="21.75"/>
    <row r="61" s="15" customFormat="1" ht="21.75"/>
    <row r="62" s="15" customFormat="1" ht="21.75"/>
    <row r="63" s="15" customFormat="1" ht="21.75"/>
    <row r="64" s="15" customFormat="1" ht="21.75"/>
    <row r="65" s="15" customFormat="1" ht="21.75"/>
    <row r="66" s="15" customFormat="1" ht="21.75"/>
    <row r="67" s="15" customFormat="1" ht="21.75"/>
    <row r="68" s="15" customFormat="1" ht="21.75"/>
    <row r="69" s="15" customFormat="1" ht="21.75"/>
    <row r="70" s="15" customFormat="1" ht="21.75"/>
    <row r="71" s="15" customFormat="1" ht="21.75"/>
    <row r="72" s="15" customFormat="1" ht="21.75"/>
    <row r="73" s="15" customFormat="1" ht="21.75"/>
    <row r="74" s="15" customFormat="1" ht="21.75"/>
    <row r="75" s="15" customFormat="1" ht="21.75"/>
    <row r="76" s="15" customFormat="1" ht="21.75"/>
    <row r="77" s="15" customFormat="1" ht="21.75"/>
    <row r="78" s="15" customFormat="1" ht="21.75"/>
    <row r="79" s="15" customFormat="1" ht="21.75"/>
    <row r="80" s="15" customFormat="1" ht="21.75"/>
    <row r="81" s="15" customFormat="1" ht="21.75"/>
    <row r="82" s="15" customFormat="1" ht="21.75"/>
  </sheetData>
  <autoFilter ref="A6:Q6" xr:uid="{00000000-0009-0000-0000-000007000000}">
    <sortState xmlns:xlrd2="http://schemas.microsoft.com/office/spreadsheetml/2017/richdata2" ref="A7:Q20">
      <sortCondition ref="A6"/>
    </sortState>
  </autoFilter>
  <mergeCells count="8">
    <mergeCell ref="A1:Q1"/>
    <mergeCell ref="A2:Q2"/>
    <mergeCell ref="A3:Q3"/>
    <mergeCell ref="A39:Q39"/>
    <mergeCell ref="C5:I5"/>
    <mergeCell ref="K5:Q5"/>
    <mergeCell ref="A4:I4"/>
    <mergeCell ref="J4:Q4"/>
  </mergeCells>
  <printOptions horizontalCentered="1"/>
  <pageMargins left="0.25" right="0.25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W47"/>
  <sheetViews>
    <sheetView rightToLeft="1" view="pageBreakPreview" zoomScale="80" zoomScaleNormal="100" zoomScaleSheetLayoutView="80" workbookViewId="0">
      <selection activeCell="E30" sqref="E30"/>
    </sheetView>
  </sheetViews>
  <sheetFormatPr defaultColWidth="9.140625" defaultRowHeight="21.75"/>
  <cols>
    <col min="1" max="1" width="35.28515625" style="1" bestFit="1" customWidth="1"/>
    <col min="2" max="2" width="0.5703125" style="1" customWidth="1"/>
    <col min="3" max="3" width="20.28515625" style="2" bestFit="1" customWidth="1"/>
    <col min="4" max="4" width="0.85546875" style="2" customWidth="1"/>
    <col min="5" max="5" width="25.85546875" style="2" customWidth="1"/>
    <col min="6" max="6" width="0.85546875" style="2" customWidth="1"/>
    <col min="7" max="7" width="25.7109375" style="2" bestFit="1" customWidth="1"/>
    <col min="8" max="8" width="0.7109375" style="2" customWidth="1"/>
    <col min="9" max="9" width="25.140625" style="2" customWidth="1"/>
    <col min="10" max="10" width="1.42578125" style="2" customWidth="1"/>
    <col min="11" max="11" width="17.7109375" style="2" bestFit="1" customWidth="1"/>
    <col min="12" max="12" width="1.140625" style="2" customWidth="1"/>
    <col min="13" max="13" width="25.7109375" style="2" bestFit="1" customWidth="1"/>
    <col min="14" max="14" width="1" style="2" customWidth="1"/>
    <col min="15" max="15" width="25.7109375" style="2" bestFit="1" customWidth="1"/>
    <col min="16" max="16" width="1.140625" style="2" customWidth="1"/>
    <col min="17" max="17" width="25.7109375" style="2" bestFit="1" customWidth="1"/>
    <col min="18" max="19" width="13.7109375" style="1" bestFit="1" customWidth="1"/>
    <col min="20" max="20" width="13.7109375" style="1" customWidth="1"/>
    <col min="21" max="21" width="38" style="1" bestFit="1" customWidth="1"/>
    <col min="22" max="22" width="17" style="1" bestFit="1" customWidth="1"/>
    <col min="23" max="16384" width="9.140625" style="1"/>
  </cols>
  <sheetData>
    <row r="1" spans="1:22" ht="22.5">
      <c r="A1" s="314" t="s">
        <v>87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22" ht="22.5">
      <c r="A2" s="314" t="s">
        <v>52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22" ht="22.5">
      <c r="A3" s="314" t="str">
        <f>' سهام'!$A$3</f>
        <v>برای ماه منتهی به 1403/10/30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22">
      <c r="A4" s="285" t="s">
        <v>59</v>
      </c>
      <c r="B4" s="285"/>
      <c r="C4" s="285"/>
      <c r="D4" s="285"/>
      <c r="E4" s="285"/>
      <c r="F4" s="285"/>
      <c r="G4" s="285"/>
      <c r="H4" s="285"/>
    </row>
    <row r="5" spans="1:22" ht="21" customHeight="1" thickBot="1">
      <c r="A5" s="54"/>
      <c r="B5" s="54"/>
      <c r="C5" s="333" t="str">
        <f>'درآمد سرمایه گذاری در سهام '!C7</f>
        <v>طی دی ماه</v>
      </c>
      <c r="D5" s="333"/>
      <c r="E5" s="333"/>
      <c r="F5" s="333"/>
      <c r="G5" s="333"/>
      <c r="H5" s="333"/>
      <c r="I5" s="333"/>
      <c r="K5" s="333" t="str">
        <f>'درآمد سرمایه گذاری در سهام '!M7</f>
        <v>از ابتدای سال مالی تا پایان دی ماه</v>
      </c>
      <c r="L5" s="333"/>
      <c r="M5" s="333"/>
      <c r="N5" s="333"/>
      <c r="O5" s="333"/>
      <c r="P5" s="333"/>
      <c r="Q5" s="333"/>
    </row>
    <row r="6" spans="1:22" ht="27" customHeight="1" thickBot="1">
      <c r="A6" s="183" t="s">
        <v>33</v>
      </c>
      <c r="B6" s="183"/>
      <c r="C6" s="26" t="s">
        <v>3</v>
      </c>
      <c r="D6" s="27"/>
      <c r="E6" s="28" t="s">
        <v>18</v>
      </c>
      <c r="F6" s="27"/>
      <c r="G6" s="26" t="s">
        <v>38</v>
      </c>
      <c r="H6" s="27"/>
      <c r="I6" s="29" t="s">
        <v>39</v>
      </c>
      <c r="K6" s="26" t="s">
        <v>3</v>
      </c>
      <c r="L6" s="27"/>
      <c r="M6" s="28" t="s">
        <v>18</v>
      </c>
      <c r="N6" s="27"/>
      <c r="O6" s="26" t="s">
        <v>38</v>
      </c>
      <c r="P6" s="27"/>
      <c r="Q6" s="29" t="s">
        <v>39</v>
      </c>
    </row>
    <row r="7" spans="1:22" s="55" customFormat="1" ht="21.75" customHeight="1">
      <c r="A7" s="184" t="s">
        <v>126</v>
      </c>
      <c r="C7" s="15">
        <v>0</v>
      </c>
      <c r="D7" s="15"/>
      <c r="E7" s="15">
        <v>0</v>
      </c>
      <c r="F7" s="15"/>
      <c r="G7" s="15">
        <v>-1195245717</v>
      </c>
      <c r="H7" s="15"/>
      <c r="I7" s="15">
        <f>E7+G7</f>
        <v>-1195245717</v>
      </c>
      <c r="J7" s="15"/>
      <c r="K7" s="15">
        <v>0</v>
      </c>
      <c r="L7" s="15"/>
      <c r="M7" s="15">
        <v>0</v>
      </c>
      <c r="N7" s="15"/>
      <c r="O7" s="15">
        <v>0</v>
      </c>
      <c r="P7" s="15"/>
      <c r="Q7" s="15">
        <f>M7+O7</f>
        <v>0</v>
      </c>
      <c r="R7" s="185"/>
      <c r="S7" s="185"/>
      <c r="T7" s="185"/>
      <c r="U7" s="185"/>
      <c r="V7" s="43"/>
    </row>
    <row r="8" spans="1:22" s="55" customFormat="1" ht="21.75" customHeight="1">
      <c r="A8" s="184" t="s">
        <v>139</v>
      </c>
      <c r="C8" s="15">
        <v>0</v>
      </c>
      <c r="D8" s="15"/>
      <c r="E8" s="15">
        <v>0</v>
      </c>
      <c r="F8" s="15"/>
      <c r="G8" s="15">
        <v>47194571</v>
      </c>
      <c r="H8" s="15"/>
      <c r="I8" s="15">
        <f t="shared" ref="I8:I30" si="0">E8+G8</f>
        <v>47194571</v>
      </c>
      <c r="J8" s="15"/>
      <c r="K8" s="15">
        <v>0</v>
      </c>
      <c r="L8" s="15"/>
      <c r="M8" s="15">
        <v>0</v>
      </c>
      <c r="N8" s="15"/>
      <c r="O8" s="15">
        <v>0</v>
      </c>
      <c r="P8" s="15"/>
      <c r="Q8" s="15">
        <f t="shared" ref="Q8:Q30" si="1">M8+O8</f>
        <v>0</v>
      </c>
      <c r="R8" s="185"/>
      <c r="S8" s="185"/>
      <c r="T8" s="185"/>
      <c r="U8" s="185"/>
      <c r="V8" s="43"/>
    </row>
    <row r="9" spans="1:22" s="55" customFormat="1" ht="21.75" customHeight="1">
      <c r="A9" s="184" t="s">
        <v>99</v>
      </c>
      <c r="C9" s="15">
        <v>23000</v>
      </c>
      <c r="D9" s="15"/>
      <c r="E9" s="15">
        <v>993632502</v>
      </c>
      <c r="F9" s="15"/>
      <c r="G9" s="15">
        <v>-782605628</v>
      </c>
      <c r="H9" s="15"/>
      <c r="I9" s="15">
        <f t="shared" si="0"/>
        <v>211026874</v>
      </c>
      <c r="J9" s="15"/>
      <c r="K9" s="15">
        <v>23000</v>
      </c>
      <c r="L9" s="15"/>
      <c r="M9" s="15">
        <v>993632502</v>
      </c>
      <c r="N9" s="15"/>
      <c r="O9" s="15">
        <v>-598557272</v>
      </c>
      <c r="P9" s="15"/>
      <c r="Q9" s="15">
        <f t="shared" si="1"/>
        <v>395075230</v>
      </c>
      <c r="R9" s="185"/>
      <c r="S9" s="185"/>
      <c r="T9" s="185"/>
      <c r="U9" s="185"/>
      <c r="V9" s="43"/>
    </row>
    <row r="10" spans="1:22" s="55" customFormat="1" ht="21.75" customHeight="1">
      <c r="A10" s="184" t="s">
        <v>90</v>
      </c>
      <c r="C10" s="15">
        <v>0</v>
      </c>
      <c r="D10" s="15"/>
      <c r="E10" s="15">
        <v>0</v>
      </c>
      <c r="F10" s="15"/>
      <c r="G10" s="15">
        <v>-1142540959</v>
      </c>
      <c r="H10" s="15"/>
      <c r="I10" s="15">
        <f t="shared" si="0"/>
        <v>-1142540959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f t="shared" si="1"/>
        <v>0</v>
      </c>
      <c r="R10" s="185"/>
      <c r="S10" s="185"/>
      <c r="T10" s="185"/>
      <c r="U10" s="185"/>
      <c r="V10" s="43"/>
    </row>
    <row r="11" spans="1:22" s="55" customFormat="1" ht="21.75" customHeight="1">
      <c r="A11" s="184" t="s">
        <v>91</v>
      </c>
      <c r="C11" s="15">
        <v>378400</v>
      </c>
      <c r="D11" s="15"/>
      <c r="E11" s="15">
        <v>3580933912</v>
      </c>
      <c r="F11" s="15"/>
      <c r="G11" s="15">
        <v>-3580933912</v>
      </c>
      <c r="H11" s="15"/>
      <c r="I11" s="15">
        <f t="shared" si="0"/>
        <v>0</v>
      </c>
      <c r="J11" s="15"/>
      <c r="K11" s="15">
        <v>378400</v>
      </c>
      <c r="L11" s="15"/>
      <c r="M11" s="15">
        <v>3580933912</v>
      </c>
      <c r="N11" s="15"/>
      <c r="O11" s="15">
        <v>-2648085583</v>
      </c>
      <c r="P11" s="15"/>
      <c r="Q11" s="15">
        <f t="shared" si="1"/>
        <v>932848329</v>
      </c>
      <c r="R11" s="185"/>
      <c r="S11" s="185"/>
      <c r="T11" s="185"/>
      <c r="U11" s="185"/>
      <c r="V11" s="43"/>
    </row>
    <row r="12" spans="1:22" s="55" customFormat="1" ht="21.75" customHeight="1">
      <c r="A12" s="184" t="s">
        <v>97</v>
      </c>
      <c r="C12" s="15">
        <v>27000</v>
      </c>
      <c r="D12" s="15"/>
      <c r="E12" s="15">
        <v>1239441186</v>
      </c>
      <c r="F12" s="15"/>
      <c r="G12" s="15">
        <v>-1050223768</v>
      </c>
      <c r="H12" s="15"/>
      <c r="I12" s="15">
        <f t="shared" si="0"/>
        <v>189217418</v>
      </c>
      <c r="J12" s="15"/>
      <c r="K12" s="15">
        <v>27000</v>
      </c>
      <c r="L12" s="15"/>
      <c r="M12" s="15">
        <v>1239441186</v>
      </c>
      <c r="N12" s="15"/>
      <c r="O12" s="15">
        <v>-776999185</v>
      </c>
      <c r="P12" s="15"/>
      <c r="Q12" s="15">
        <f t="shared" si="1"/>
        <v>462442001</v>
      </c>
      <c r="R12" s="185"/>
      <c r="S12" s="185"/>
      <c r="T12" s="185"/>
      <c r="U12" s="185"/>
      <c r="V12" s="43"/>
    </row>
    <row r="13" spans="1:22" s="55" customFormat="1" ht="21.75" customHeight="1">
      <c r="A13" s="184" t="s">
        <v>92</v>
      </c>
      <c r="C13" s="15">
        <v>0</v>
      </c>
      <c r="D13" s="15"/>
      <c r="E13" s="15">
        <v>0</v>
      </c>
      <c r="F13" s="15"/>
      <c r="G13" s="15">
        <v>-287640771</v>
      </c>
      <c r="H13" s="15"/>
      <c r="I13" s="15">
        <f t="shared" si="0"/>
        <v>-287640771</v>
      </c>
      <c r="J13" s="15"/>
      <c r="K13" s="15">
        <v>0</v>
      </c>
      <c r="L13" s="15"/>
      <c r="M13" s="15">
        <v>0</v>
      </c>
      <c r="N13" s="15"/>
      <c r="O13" s="15">
        <v>0</v>
      </c>
      <c r="P13" s="15"/>
      <c r="Q13" s="15">
        <f t="shared" si="1"/>
        <v>0</v>
      </c>
      <c r="R13" s="185"/>
      <c r="S13" s="185"/>
      <c r="T13" s="185"/>
      <c r="U13" s="185"/>
      <c r="V13" s="43"/>
    </row>
    <row r="14" spans="1:22" s="55" customFormat="1" ht="21.75" customHeight="1">
      <c r="A14" s="184" t="s">
        <v>89</v>
      </c>
      <c r="C14" s="15">
        <v>0</v>
      </c>
      <c r="D14" s="15"/>
      <c r="E14" s="15">
        <v>0</v>
      </c>
      <c r="F14" s="15"/>
      <c r="G14" s="15">
        <v>-1026058409</v>
      </c>
      <c r="H14" s="15"/>
      <c r="I14" s="15">
        <f t="shared" si="0"/>
        <v>-1026058409</v>
      </c>
      <c r="J14" s="15"/>
      <c r="K14" s="15">
        <v>0</v>
      </c>
      <c r="L14" s="15"/>
      <c r="M14" s="15">
        <v>0</v>
      </c>
      <c r="N14" s="15"/>
      <c r="O14" s="15">
        <v>0</v>
      </c>
      <c r="P14" s="15"/>
      <c r="Q14" s="15">
        <f t="shared" si="1"/>
        <v>0</v>
      </c>
      <c r="R14" s="185"/>
      <c r="S14" s="185"/>
      <c r="T14" s="185"/>
      <c r="U14" s="185"/>
      <c r="V14" s="43"/>
    </row>
    <row r="15" spans="1:22" s="55" customFormat="1" ht="21.75" customHeight="1">
      <c r="A15" s="184" t="s">
        <v>88</v>
      </c>
      <c r="C15" s="15">
        <v>0</v>
      </c>
      <c r="D15" s="15"/>
      <c r="E15" s="15">
        <v>0</v>
      </c>
      <c r="F15" s="15"/>
      <c r="G15" s="15">
        <v>-840090896</v>
      </c>
      <c r="H15" s="15"/>
      <c r="I15" s="15">
        <f t="shared" si="0"/>
        <v>-840090896</v>
      </c>
      <c r="J15" s="15"/>
      <c r="K15" s="15">
        <v>0</v>
      </c>
      <c r="L15" s="15"/>
      <c r="M15" s="15">
        <v>0</v>
      </c>
      <c r="N15" s="15"/>
      <c r="O15" s="15">
        <v>0</v>
      </c>
      <c r="P15" s="15"/>
      <c r="Q15" s="15">
        <f t="shared" si="1"/>
        <v>0</v>
      </c>
      <c r="R15" s="185"/>
      <c r="S15" s="185"/>
      <c r="T15" s="185"/>
      <c r="U15" s="185"/>
      <c r="V15" s="43"/>
    </row>
    <row r="16" spans="1:22" s="55" customFormat="1" ht="21.75" customHeight="1">
      <c r="A16" s="184" t="s">
        <v>109</v>
      </c>
      <c r="C16" s="15">
        <v>0</v>
      </c>
      <c r="D16" s="15"/>
      <c r="E16" s="15">
        <v>0</v>
      </c>
      <c r="F16" s="15"/>
      <c r="G16" s="15">
        <v>-691858798</v>
      </c>
      <c r="H16" s="15"/>
      <c r="I16" s="15">
        <f t="shared" si="0"/>
        <v>-691858798</v>
      </c>
      <c r="J16" s="15"/>
      <c r="K16" s="15">
        <v>0</v>
      </c>
      <c r="L16" s="15"/>
      <c r="M16" s="15">
        <v>0</v>
      </c>
      <c r="N16" s="15"/>
      <c r="O16" s="15">
        <v>0</v>
      </c>
      <c r="P16" s="15"/>
      <c r="Q16" s="15">
        <f t="shared" si="1"/>
        <v>0</v>
      </c>
      <c r="R16" s="185"/>
      <c r="S16" s="185"/>
      <c r="T16" s="185"/>
      <c r="U16" s="185"/>
      <c r="V16" s="43"/>
    </row>
    <row r="17" spans="1:23" s="55" customFormat="1" ht="21.75" customHeight="1">
      <c r="A17" s="184" t="s">
        <v>93</v>
      </c>
      <c r="C17" s="15">
        <v>31995</v>
      </c>
      <c r="D17" s="15"/>
      <c r="E17" s="15">
        <v>100120977</v>
      </c>
      <c r="F17" s="15"/>
      <c r="G17" s="15">
        <v>-540115523</v>
      </c>
      <c r="H17" s="15"/>
      <c r="I17" s="15">
        <f t="shared" si="0"/>
        <v>-439994546</v>
      </c>
      <c r="J17" s="15"/>
      <c r="K17" s="15">
        <v>31995</v>
      </c>
      <c r="L17" s="15"/>
      <c r="M17" s="15">
        <v>100120977</v>
      </c>
      <c r="N17" s="15"/>
      <c r="O17" s="15">
        <v>-84981972</v>
      </c>
      <c r="P17" s="15"/>
      <c r="Q17" s="15">
        <f t="shared" si="1"/>
        <v>15139005</v>
      </c>
      <c r="R17" s="185"/>
      <c r="S17" s="185"/>
      <c r="T17" s="185"/>
      <c r="U17" s="185"/>
      <c r="V17" s="43"/>
    </row>
    <row r="18" spans="1:23" s="55" customFormat="1" ht="21.75" customHeight="1">
      <c r="A18" s="184" t="s">
        <v>135</v>
      </c>
      <c r="C18" s="15">
        <v>70000</v>
      </c>
      <c r="D18" s="15"/>
      <c r="E18" s="15">
        <v>2696360625</v>
      </c>
      <c r="F18" s="15"/>
      <c r="G18" s="15">
        <v>-2066629950</v>
      </c>
      <c r="H18" s="15"/>
      <c r="I18" s="15">
        <f t="shared" si="0"/>
        <v>629730675</v>
      </c>
      <c r="J18" s="15"/>
      <c r="K18" s="15">
        <v>70000</v>
      </c>
      <c r="L18" s="15"/>
      <c r="M18" s="15">
        <v>2696360625</v>
      </c>
      <c r="N18" s="15"/>
      <c r="O18" s="15">
        <v>-1729149978</v>
      </c>
      <c r="P18" s="15"/>
      <c r="Q18" s="15">
        <f t="shared" si="1"/>
        <v>967210647</v>
      </c>
      <c r="R18" s="185"/>
      <c r="S18" s="185"/>
      <c r="T18" s="185"/>
      <c r="U18" s="185"/>
      <c r="V18" s="43"/>
    </row>
    <row r="19" spans="1:23" s="55" customFormat="1" ht="21.75" customHeight="1">
      <c r="A19" s="184" t="s">
        <v>140</v>
      </c>
      <c r="C19" s="15">
        <v>0</v>
      </c>
      <c r="D19" s="15"/>
      <c r="E19" s="15">
        <v>0</v>
      </c>
      <c r="F19" s="15"/>
      <c r="G19" s="15">
        <v>39798054</v>
      </c>
      <c r="H19" s="15"/>
      <c r="I19" s="15">
        <f t="shared" si="0"/>
        <v>39798054</v>
      </c>
      <c r="J19" s="15"/>
      <c r="K19" s="15">
        <v>0</v>
      </c>
      <c r="L19" s="15"/>
      <c r="M19" s="15">
        <v>0</v>
      </c>
      <c r="N19" s="15"/>
      <c r="O19" s="15">
        <v>0</v>
      </c>
      <c r="P19" s="15"/>
      <c r="Q19" s="15">
        <f t="shared" si="1"/>
        <v>0</v>
      </c>
      <c r="R19" s="185"/>
      <c r="S19" s="185"/>
      <c r="T19" s="185"/>
      <c r="U19" s="185"/>
      <c r="V19" s="43"/>
    </row>
    <row r="20" spans="1:23" s="55" customFormat="1" ht="21.75" customHeight="1">
      <c r="A20" s="184" t="s">
        <v>133</v>
      </c>
      <c r="C20" s="15">
        <v>59000</v>
      </c>
      <c r="D20" s="15"/>
      <c r="E20" s="15">
        <v>2026321225</v>
      </c>
      <c r="F20" s="15"/>
      <c r="G20" s="15">
        <v>-1392912564</v>
      </c>
      <c r="H20" s="15"/>
      <c r="I20" s="15">
        <f t="shared" si="0"/>
        <v>633408661</v>
      </c>
      <c r="J20" s="15"/>
      <c r="K20" s="15">
        <v>59000</v>
      </c>
      <c r="L20" s="15"/>
      <c r="M20" s="15">
        <v>2026321225</v>
      </c>
      <c r="N20" s="15"/>
      <c r="O20" s="15">
        <v>-1158316767</v>
      </c>
      <c r="P20" s="15"/>
      <c r="Q20" s="15">
        <f t="shared" si="1"/>
        <v>868004458</v>
      </c>
      <c r="R20" s="185"/>
      <c r="S20" s="185"/>
      <c r="T20" s="185"/>
      <c r="U20" s="185"/>
      <c r="V20" s="43"/>
    </row>
    <row r="21" spans="1:23" s="55" customFormat="1" ht="21.75" customHeight="1">
      <c r="A21" s="184" t="s">
        <v>136</v>
      </c>
      <c r="C21" s="15">
        <v>0</v>
      </c>
      <c r="D21" s="15"/>
      <c r="E21" s="15">
        <v>0</v>
      </c>
      <c r="F21" s="15"/>
      <c r="G21" s="15">
        <v>-309770648</v>
      </c>
      <c r="H21" s="15"/>
      <c r="I21" s="15">
        <f t="shared" si="0"/>
        <v>-309770648</v>
      </c>
      <c r="J21" s="15"/>
      <c r="K21" s="15">
        <v>0</v>
      </c>
      <c r="L21" s="15"/>
      <c r="M21" s="15">
        <v>0</v>
      </c>
      <c r="N21" s="15"/>
      <c r="O21" s="15">
        <v>0</v>
      </c>
      <c r="P21" s="15"/>
      <c r="Q21" s="15">
        <f t="shared" si="1"/>
        <v>0</v>
      </c>
      <c r="R21" s="185"/>
      <c r="S21" s="185"/>
      <c r="T21" s="185"/>
      <c r="U21" s="185"/>
      <c r="V21" s="43"/>
    </row>
    <row r="22" spans="1:23" s="55" customFormat="1" ht="21.75" customHeight="1">
      <c r="A22" s="184" t="s">
        <v>102</v>
      </c>
      <c r="C22" s="15">
        <v>0</v>
      </c>
      <c r="D22" s="15"/>
      <c r="E22" s="15">
        <v>0</v>
      </c>
      <c r="F22" s="15"/>
      <c r="G22" s="15">
        <v>-1110950278</v>
      </c>
      <c r="H22" s="15"/>
      <c r="I22" s="15">
        <f t="shared" si="0"/>
        <v>-1110950278</v>
      </c>
      <c r="J22" s="15"/>
      <c r="K22" s="15">
        <v>0</v>
      </c>
      <c r="L22" s="15"/>
      <c r="M22" s="15">
        <v>0</v>
      </c>
      <c r="N22" s="15"/>
      <c r="O22" s="15">
        <v>0</v>
      </c>
      <c r="P22" s="15"/>
      <c r="Q22" s="15">
        <f t="shared" si="1"/>
        <v>0</v>
      </c>
      <c r="R22" s="185"/>
      <c r="S22" s="185"/>
      <c r="T22" s="185"/>
      <c r="U22" s="185"/>
      <c r="V22" s="43"/>
    </row>
    <row r="23" spans="1:23" s="55" customFormat="1" ht="21.75" customHeight="1">
      <c r="A23" s="184" t="s">
        <v>111</v>
      </c>
      <c r="C23" s="15">
        <v>23000000</v>
      </c>
      <c r="D23" s="15"/>
      <c r="E23" s="15">
        <v>31368241800</v>
      </c>
      <c r="F23" s="15"/>
      <c r="G23" s="15">
        <v>-33902353375</v>
      </c>
      <c r="H23" s="15"/>
      <c r="I23" s="15">
        <f t="shared" si="0"/>
        <v>-2534111575</v>
      </c>
      <c r="J23" s="15"/>
      <c r="K23" s="15">
        <v>23000000</v>
      </c>
      <c r="L23" s="15"/>
      <c r="M23" s="15">
        <v>31368241800</v>
      </c>
      <c r="N23" s="15"/>
      <c r="O23" s="15">
        <v>-33472327347</v>
      </c>
      <c r="P23" s="15"/>
      <c r="Q23" s="15">
        <f t="shared" si="1"/>
        <v>-2104085547</v>
      </c>
      <c r="R23" s="185"/>
      <c r="S23" s="185"/>
      <c r="T23" s="185"/>
      <c r="U23" s="185"/>
      <c r="V23" s="43"/>
    </row>
    <row r="24" spans="1:23" s="55" customFormat="1" ht="21.75" customHeight="1">
      <c r="A24" s="184" t="s">
        <v>101</v>
      </c>
      <c r="C24" s="15">
        <v>47170</v>
      </c>
      <c r="D24" s="15"/>
      <c r="E24" s="15">
        <v>310407426</v>
      </c>
      <c r="F24" s="15"/>
      <c r="G24" s="15">
        <v>-284618289</v>
      </c>
      <c r="H24" s="15"/>
      <c r="I24" s="15">
        <f t="shared" si="0"/>
        <v>25789137</v>
      </c>
      <c r="J24" s="15"/>
      <c r="K24" s="15">
        <v>47170</v>
      </c>
      <c r="L24" s="15"/>
      <c r="M24" s="15">
        <v>310407426</v>
      </c>
      <c r="N24" s="15"/>
      <c r="O24" s="15">
        <v>-289776112</v>
      </c>
      <c r="P24" s="15"/>
      <c r="Q24" s="15">
        <f t="shared" si="1"/>
        <v>20631314</v>
      </c>
      <c r="R24" s="185"/>
      <c r="S24" s="185"/>
      <c r="T24" s="185"/>
      <c r="U24" s="185"/>
      <c r="V24" s="43"/>
    </row>
    <row r="25" spans="1:23" s="55" customFormat="1" ht="21.75" customHeight="1">
      <c r="A25" s="184" t="s">
        <v>112</v>
      </c>
      <c r="C25" s="15">
        <v>572500</v>
      </c>
      <c r="D25" s="15"/>
      <c r="E25" s="15">
        <v>9418499495</v>
      </c>
      <c r="F25" s="15"/>
      <c r="G25" s="15">
        <v>-11296508459</v>
      </c>
      <c r="H25" s="15"/>
      <c r="I25" s="15">
        <f t="shared" si="0"/>
        <v>-1878008964</v>
      </c>
      <c r="J25" s="15"/>
      <c r="K25" s="15">
        <v>572500</v>
      </c>
      <c r="L25" s="15"/>
      <c r="M25" s="15">
        <v>9418499495</v>
      </c>
      <c r="N25" s="15"/>
      <c r="O25" s="15">
        <v>-8433967525</v>
      </c>
      <c r="P25" s="15"/>
      <c r="Q25" s="15">
        <f t="shared" si="1"/>
        <v>984531970</v>
      </c>
      <c r="R25" s="185"/>
      <c r="S25" s="185"/>
      <c r="T25" s="185"/>
      <c r="U25" s="185"/>
      <c r="V25" s="43"/>
    </row>
    <row r="26" spans="1:23" s="55" customFormat="1" ht="21.75" customHeight="1">
      <c r="A26" s="184" t="s">
        <v>113</v>
      </c>
      <c r="C26" s="15">
        <v>200000</v>
      </c>
      <c r="D26" s="15"/>
      <c r="E26" s="15">
        <v>1992076200</v>
      </c>
      <c r="F26" s="15"/>
      <c r="G26" s="15">
        <v>-1902611700</v>
      </c>
      <c r="H26" s="15"/>
      <c r="I26" s="15">
        <f t="shared" si="0"/>
        <v>89464500</v>
      </c>
      <c r="J26" s="15"/>
      <c r="K26" s="15">
        <v>200000</v>
      </c>
      <c r="L26" s="15"/>
      <c r="M26" s="15">
        <v>1992076200</v>
      </c>
      <c r="N26" s="15"/>
      <c r="O26" s="15">
        <v>-1668015900</v>
      </c>
      <c r="P26" s="15"/>
      <c r="Q26" s="15">
        <f t="shared" si="1"/>
        <v>324060300</v>
      </c>
      <c r="R26" s="185"/>
      <c r="S26" s="185"/>
      <c r="T26" s="185"/>
      <c r="U26" s="185"/>
      <c r="V26" s="43"/>
    </row>
    <row r="27" spans="1:23" s="55" customFormat="1" ht="21.75" customHeight="1">
      <c r="A27" s="184" t="s">
        <v>147</v>
      </c>
      <c r="C27" s="15">
        <v>23000000</v>
      </c>
      <c r="D27" s="15"/>
      <c r="E27" s="15">
        <v>1265000000</v>
      </c>
      <c r="F27" s="15"/>
      <c r="G27" s="15">
        <v>2485914000</v>
      </c>
      <c r="H27" s="15"/>
      <c r="I27" s="15">
        <f>E27+G27</f>
        <v>3750914000</v>
      </c>
      <c r="J27" s="15"/>
      <c r="K27" s="15">
        <v>23000000</v>
      </c>
      <c r="L27" s="15"/>
      <c r="M27" s="15">
        <v>1265000000</v>
      </c>
      <c r="N27" s="15"/>
      <c r="O27" s="15">
        <v>2485914000</v>
      </c>
      <c r="P27" s="15"/>
      <c r="Q27" s="15">
        <f>M27+O27</f>
        <v>3750914000</v>
      </c>
      <c r="R27" s="185"/>
      <c r="S27" s="185"/>
      <c r="T27" s="185"/>
      <c r="U27" s="185"/>
      <c r="V27" s="43"/>
    </row>
    <row r="28" spans="1:23" s="55" customFormat="1" ht="21.75" customHeight="1">
      <c r="A28" s="184" t="s">
        <v>103</v>
      </c>
      <c r="C28" s="15">
        <v>10000</v>
      </c>
      <c r="D28" s="15"/>
      <c r="E28" s="15">
        <v>8558548483</v>
      </c>
      <c r="F28" s="15"/>
      <c r="G28" s="15">
        <v>-8399477320</v>
      </c>
      <c r="H28" s="15"/>
      <c r="I28" s="15">
        <f t="shared" si="0"/>
        <v>159071163</v>
      </c>
      <c r="J28" s="15"/>
      <c r="K28" s="15">
        <v>10000</v>
      </c>
      <c r="L28" s="15"/>
      <c r="M28" s="15">
        <v>8558548483</v>
      </c>
      <c r="N28" s="15"/>
      <c r="O28" s="15">
        <v>-7986052269</v>
      </c>
      <c r="P28" s="15"/>
      <c r="Q28" s="15">
        <f t="shared" si="1"/>
        <v>572496214</v>
      </c>
      <c r="R28" s="185"/>
      <c r="S28" s="185"/>
      <c r="T28" s="185"/>
      <c r="U28" s="185"/>
      <c r="V28" s="43"/>
    </row>
    <row r="29" spans="1:23" s="55" customFormat="1" ht="21.75" customHeight="1">
      <c r="A29" s="184" t="s">
        <v>114</v>
      </c>
      <c r="C29" s="15">
        <v>7800</v>
      </c>
      <c r="D29" s="15"/>
      <c r="E29" s="15">
        <v>6054978338</v>
      </c>
      <c r="F29" s="15"/>
      <c r="G29" s="15">
        <v>-6004911413</v>
      </c>
      <c r="H29" s="15"/>
      <c r="I29" s="15">
        <f t="shared" si="0"/>
        <v>50066925</v>
      </c>
      <c r="J29" s="15"/>
      <c r="K29" s="15">
        <v>7800</v>
      </c>
      <c r="L29" s="15"/>
      <c r="M29" s="15">
        <v>6054978338</v>
      </c>
      <c r="N29" s="15"/>
      <c r="O29" s="15">
        <v>-5685169378</v>
      </c>
      <c r="P29" s="15"/>
      <c r="Q29" s="15">
        <f t="shared" si="1"/>
        <v>369808960</v>
      </c>
      <c r="R29" s="185"/>
      <c r="S29" s="185"/>
      <c r="T29" s="185"/>
      <c r="U29" s="185"/>
      <c r="V29" s="43"/>
    </row>
    <row r="30" spans="1:23" s="55" customFormat="1" ht="21.75" customHeight="1">
      <c r="A30" s="184" t="s">
        <v>104</v>
      </c>
      <c r="C30" s="15">
        <v>10000</v>
      </c>
      <c r="D30" s="15"/>
      <c r="E30" s="15">
        <v>6677189540</v>
      </c>
      <c r="F30" s="15"/>
      <c r="G30" s="15">
        <v>-6691686913</v>
      </c>
      <c r="H30" s="15"/>
      <c r="I30" s="15">
        <f t="shared" si="0"/>
        <v>-14497373</v>
      </c>
      <c r="J30" s="15"/>
      <c r="K30" s="15">
        <v>10000</v>
      </c>
      <c r="L30" s="15"/>
      <c r="M30" s="15">
        <v>6677189540</v>
      </c>
      <c r="N30" s="15"/>
      <c r="O30" s="15">
        <v>-6250666864</v>
      </c>
      <c r="P30" s="15"/>
      <c r="Q30" s="15">
        <f t="shared" si="1"/>
        <v>426522676</v>
      </c>
      <c r="R30" s="185"/>
      <c r="S30" s="185"/>
      <c r="T30" s="185"/>
      <c r="U30" s="185"/>
      <c r="V30" s="43"/>
    </row>
    <row r="31" spans="1:23" ht="23.25" thickBot="1">
      <c r="A31" s="186"/>
      <c r="B31" s="186"/>
      <c r="C31" s="240"/>
      <c r="D31" s="240"/>
      <c r="E31" s="72">
        <f>SUM(E7:E30)</f>
        <v>76281751709</v>
      </c>
      <c r="F31" s="15"/>
      <c r="G31" s="72">
        <f>SUM(G7:G30)</f>
        <v>-81926838665</v>
      </c>
      <c r="H31" s="15"/>
      <c r="I31" s="72">
        <f>SUM(I7:I30)</f>
        <v>-5645086956</v>
      </c>
      <c r="J31" s="30"/>
      <c r="K31" s="15"/>
      <c r="L31" s="30"/>
      <c r="M31" s="72">
        <f>SUM(M7:M30)</f>
        <v>76281751709</v>
      </c>
      <c r="N31" s="15"/>
      <c r="O31" s="72">
        <f>SUM(O7:O30)</f>
        <v>-68296152152</v>
      </c>
      <c r="P31" s="15"/>
      <c r="Q31" s="72">
        <f>SUM(Q7:Q30)</f>
        <v>7985599557</v>
      </c>
      <c r="V31" s="16"/>
      <c r="W31" s="55"/>
    </row>
    <row r="32" spans="1:23" ht="23.25" thickTop="1">
      <c r="A32" s="54"/>
      <c r="B32" s="54"/>
      <c r="C32" s="171"/>
      <c r="D32" s="54"/>
      <c r="E32" s="50"/>
      <c r="F32" s="30"/>
      <c r="G32" s="50"/>
      <c r="H32" s="30"/>
      <c r="I32" s="50"/>
      <c r="J32" s="30"/>
      <c r="K32" s="171"/>
      <c r="L32" s="30"/>
      <c r="M32" s="50"/>
      <c r="N32" s="30"/>
      <c r="O32" s="50"/>
      <c r="P32" s="30"/>
      <c r="Q32" s="50"/>
      <c r="V32" s="16"/>
      <c r="W32" s="55"/>
    </row>
    <row r="33" spans="1:23" ht="22.5">
      <c r="A33" s="54"/>
      <c r="B33" s="54"/>
      <c r="C33" s="171"/>
      <c r="D33" s="54"/>
      <c r="E33" s="50"/>
      <c r="F33" s="30"/>
      <c r="G33" s="50"/>
      <c r="H33" s="30"/>
      <c r="I33" s="50"/>
      <c r="J33" s="30"/>
      <c r="K33" s="171"/>
      <c r="L33" s="30"/>
      <c r="M33" s="50"/>
      <c r="N33" s="30"/>
      <c r="O33" s="50"/>
      <c r="P33" s="30"/>
      <c r="Q33" s="50"/>
      <c r="V33" s="16"/>
      <c r="W33" s="55"/>
    </row>
    <row r="34" spans="1:23" ht="7.5" customHeight="1">
      <c r="A34" s="54"/>
      <c r="B34" s="54"/>
      <c r="V34" s="16"/>
      <c r="W34" s="55"/>
    </row>
    <row r="35" spans="1:23" ht="24.75" customHeight="1">
      <c r="A35" s="336" t="s">
        <v>40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8"/>
      <c r="W35" s="55"/>
    </row>
    <row r="36" spans="1:23">
      <c r="Q36" s="187"/>
    </row>
    <row r="37" spans="1:23" s="31" customFormat="1" ht="24"/>
    <row r="38" spans="1:23" ht="24">
      <c r="I38" s="31"/>
      <c r="M38" s="31"/>
      <c r="Q38" s="31"/>
    </row>
    <row r="40" spans="1:23" ht="22.5">
      <c r="I40" s="129"/>
      <c r="M40" s="129"/>
      <c r="Q40" s="129"/>
    </row>
    <row r="41" spans="1:23" ht="24">
      <c r="E41" s="31"/>
      <c r="I41" s="129"/>
      <c r="K41" s="31"/>
      <c r="M41" s="31"/>
      <c r="Q41" s="129"/>
    </row>
    <row r="42" spans="1:23" ht="22.5">
      <c r="I42" s="129"/>
      <c r="Q42" s="129"/>
    </row>
    <row r="43" spans="1:23" ht="24">
      <c r="E43" s="31"/>
      <c r="F43" s="31"/>
      <c r="G43" s="31"/>
      <c r="I43" s="31"/>
      <c r="K43" s="31"/>
      <c r="L43" s="31"/>
      <c r="M43" s="31"/>
      <c r="N43" s="31"/>
      <c r="O43" s="31"/>
      <c r="Q43" s="31"/>
    </row>
    <row r="44" spans="1:23" ht="24">
      <c r="E44" s="31"/>
      <c r="F44" s="31"/>
      <c r="G44" s="31"/>
      <c r="I44" s="31"/>
      <c r="K44" s="31"/>
      <c r="L44" s="31"/>
      <c r="M44" s="31"/>
      <c r="N44" s="31"/>
      <c r="O44" s="31"/>
      <c r="Q44" s="31"/>
    </row>
    <row r="45" spans="1:23" ht="22.5">
      <c r="E45" s="129"/>
    </row>
    <row r="46" spans="1:23" ht="24">
      <c r="E46" s="31"/>
    </row>
    <row r="47" spans="1:23" ht="24">
      <c r="E47" s="31"/>
    </row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35:Q35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F185"/>
  <sheetViews>
    <sheetView rightToLeft="1" view="pageBreakPreview" zoomScale="60" zoomScaleNormal="100" workbookViewId="0">
      <selection activeCell="A32" sqref="A32:W37"/>
    </sheetView>
  </sheetViews>
  <sheetFormatPr defaultColWidth="9.140625" defaultRowHeight="30.75"/>
  <cols>
    <col min="1" max="1" width="55.42578125" style="137" bestFit="1" customWidth="1"/>
    <col min="2" max="2" width="1.85546875" style="137" customWidth="1"/>
    <col min="3" max="3" width="22.5703125" style="4" customWidth="1"/>
    <col min="4" max="4" width="1.140625" style="4" customWidth="1"/>
    <col min="5" max="5" width="32" style="4" customWidth="1"/>
    <col min="6" max="6" width="1.42578125" style="4" customWidth="1"/>
    <col min="7" max="7" width="32.140625" style="4" customWidth="1"/>
    <col min="8" max="8" width="1.5703125" style="4" customWidth="1"/>
    <col min="9" max="9" width="20.5703125" style="4" bestFit="1" customWidth="1"/>
    <col min="10" max="10" width="29.140625" style="4" bestFit="1" customWidth="1"/>
    <col min="11" max="11" width="1.42578125" style="4" customWidth="1"/>
    <col min="12" max="12" width="20.7109375" style="4" customWidth="1"/>
    <col min="13" max="13" width="29.140625" style="4" customWidth="1"/>
    <col min="14" max="14" width="1.140625" style="4" customWidth="1"/>
    <col min="15" max="15" width="22.5703125" style="4" bestFit="1" customWidth="1"/>
    <col min="16" max="16" width="1.42578125" style="4" customWidth="1"/>
    <col min="17" max="17" width="18.7109375" style="4" customWidth="1"/>
    <col min="18" max="18" width="1.5703125" style="4" customWidth="1"/>
    <col min="19" max="19" width="32" style="4" bestFit="1" customWidth="1"/>
    <col min="20" max="20" width="1.85546875" style="4" customWidth="1"/>
    <col min="21" max="21" width="37.42578125" style="4" bestFit="1" customWidth="1"/>
    <col min="22" max="22" width="1.5703125" style="137" customWidth="1"/>
    <col min="23" max="23" width="23.5703125" style="9" bestFit="1" customWidth="1"/>
    <col min="24" max="24" width="27.140625" style="4" bestFit="1" customWidth="1"/>
    <col min="25" max="25" width="19.42578125" style="137" bestFit="1" customWidth="1"/>
    <col min="26" max="26" width="19.42578125" style="5" bestFit="1" customWidth="1"/>
    <col min="27" max="27" width="14.85546875" style="5" bestFit="1" customWidth="1"/>
    <col min="28" max="28" width="17.140625" style="137" bestFit="1" customWidth="1"/>
    <col min="29" max="16384" width="9.140625" style="137"/>
  </cols>
  <sheetData>
    <row r="1" spans="1:32" ht="31.5">
      <c r="A1" s="248" t="s">
        <v>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</row>
    <row r="2" spans="1:32" ht="31.5">
      <c r="A2" s="248" t="s">
        <v>46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1:32" ht="31.5">
      <c r="A3" s="248" t="s">
        <v>143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</row>
    <row r="4" spans="1:32" ht="31.5">
      <c r="A4" s="256" t="s">
        <v>22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</row>
    <row r="5" spans="1:32" ht="31.5">
      <c r="A5" s="256" t="s">
        <v>23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</row>
    <row r="7" spans="1:32" ht="36.75" customHeight="1" thickBot="1">
      <c r="A7" s="138"/>
      <c r="B7" s="139"/>
      <c r="C7" s="258" t="s">
        <v>138</v>
      </c>
      <c r="D7" s="258"/>
      <c r="E7" s="258"/>
      <c r="F7" s="258"/>
      <c r="G7" s="258"/>
      <c r="H7" s="6"/>
      <c r="I7" s="257" t="s">
        <v>7</v>
      </c>
      <c r="J7" s="257"/>
      <c r="K7" s="257"/>
      <c r="L7" s="257"/>
      <c r="M7" s="257"/>
      <c r="O7" s="259" t="s">
        <v>142</v>
      </c>
      <c r="P7" s="259"/>
      <c r="Q7" s="259"/>
      <c r="R7" s="259"/>
      <c r="S7" s="259"/>
      <c r="T7" s="259"/>
      <c r="U7" s="259"/>
      <c r="V7" s="259"/>
      <c r="W7" s="259"/>
    </row>
    <row r="8" spans="1:32" ht="29.25" customHeight="1">
      <c r="A8" s="249" t="s">
        <v>1</v>
      </c>
      <c r="B8" s="141"/>
      <c r="C8" s="253" t="s">
        <v>3</v>
      </c>
      <c r="D8" s="255"/>
      <c r="E8" s="253" t="s">
        <v>0</v>
      </c>
      <c r="F8" s="255"/>
      <c r="G8" s="255" t="s">
        <v>18</v>
      </c>
      <c r="H8" s="48"/>
      <c r="I8" s="251" t="s">
        <v>4</v>
      </c>
      <c r="J8" s="251"/>
      <c r="K8" s="7"/>
      <c r="L8" s="251" t="s">
        <v>5</v>
      </c>
      <c r="M8" s="251"/>
      <c r="O8" s="253" t="s">
        <v>3</v>
      </c>
      <c r="P8" s="252"/>
      <c r="Q8" s="255" t="s">
        <v>30</v>
      </c>
      <c r="R8" s="135"/>
      <c r="S8" s="253" t="s">
        <v>0</v>
      </c>
      <c r="T8" s="252"/>
      <c r="U8" s="255" t="s">
        <v>18</v>
      </c>
      <c r="V8" s="142"/>
      <c r="W8" s="261" t="s">
        <v>19</v>
      </c>
    </row>
    <row r="9" spans="1:32" ht="49.5" customHeight="1" thickBot="1">
      <c r="A9" s="250"/>
      <c r="B9" s="141"/>
      <c r="C9" s="254"/>
      <c r="D9" s="252"/>
      <c r="E9" s="254"/>
      <c r="F9" s="252"/>
      <c r="G9" s="260"/>
      <c r="H9" s="48"/>
      <c r="I9" s="111" t="s">
        <v>3</v>
      </c>
      <c r="J9" s="111" t="s">
        <v>0</v>
      </c>
      <c r="K9" s="7"/>
      <c r="L9" s="111" t="s">
        <v>3</v>
      </c>
      <c r="M9" s="111" t="s">
        <v>45</v>
      </c>
      <c r="O9" s="254"/>
      <c r="P9" s="252"/>
      <c r="Q9" s="260"/>
      <c r="R9" s="135"/>
      <c r="S9" s="254"/>
      <c r="T9" s="252"/>
      <c r="U9" s="260"/>
      <c r="V9" s="142"/>
      <c r="W9" s="262"/>
    </row>
    <row r="10" spans="1:32" ht="28.5" customHeight="1">
      <c r="A10" s="4" t="s">
        <v>139</v>
      </c>
      <c r="C10" s="215">
        <v>1000000</v>
      </c>
      <c r="E10" s="4">
        <v>2007461171</v>
      </c>
      <c r="F10" s="4">
        <v>1960266600</v>
      </c>
      <c r="G10" s="215">
        <v>1960266600</v>
      </c>
      <c r="I10" s="4">
        <v>0</v>
      </c>
      <c r="J10" s="4">
        <v>0</v>
      </c>
      <c r="K10" s="216"/>
      <c r="L10" s="4">
        <v>1000000</v>
      </c>
      <c r="M10" s="4">
        <v>1868489558</v>
      </c>
      <c r="O10" s="4">
        <v>0</v>
      </c>
      <c r="Q10" s="217">
        <v>0</v>
      </c>
      <c r="S10" s="4">
        <v>0</v>
      </c>
      <c r="U10" s="215">
        <v>0</v>
      </c>
      <c r="V10" s="143"/>
      <c r="W10" s="8">
        <f>U10/درآمدها!$J$5</f>
        <v>0</v>
      </c>
      <c r="Y10" s="144"/>
      <c r="AB10" s="144"/>
      <c r="AC10" s="53"/>
      <c r="AD10" s="144"/>
      <c r="AE10" s="53"/>
      <c r="AF10" s="144"/>
    </row>
    <row r="11" spans="1:32" ht="28.5" customHeight="1">
      <c r="A11" s="4" t="s">
        <v>136</v>
      </c>
      <c r="C11" s="215">
        <v>150000</v>
      </c>
      <c r="E11" s="4">
        <v>3373184602</v>
      </c>
      <c r="F11" s="4">
        <v>3682955250</v>
      </c>
      <c r="G11" s="215">
        <v>3682955250</v>
      </c>
      <c r="I11" s="4">
        <v>0</v>
      </c>
      <c r="J11" s="4">
        <v>0</v>
      </c>
      <c r="K11" s="216"/>
      <c r="L11" s="4">
        <v>150000</v>
      </c>
      <c r="M11" s="4">
        <v>4689430918</v>
      </c>
      <c r="O11" s="4">
        <v>0</v>
      </c>
      <c r="Q11" s="217">
        <v>0</v>
      </c>
      <c r="S11" s="4">
        <v>0</v>
      </c>
      <c r="U11" s="215">
        <v>0</v>
      </c>
      <c r="V11" s="143"/>
      <c r="W11" s="8">
        <f>U11/درآمدها!$J$5</f>
        <v>0</v>
      </c>
      <c r="Y11" s="144"/>
      <c r="AB11" s="144"/>
      <c r="AC11" s="53"/>
      <c r="AD11" s="144"/>
      <c r="AE11" s="53"/>
      <c r="AF11" s="144"/>
    </row>
    <row r="12" spans="1:32" ht="28.5" customHeight="1">
      <c r="A12" s="4" t="s">
        <v>97</v>
      </c>
      <c r="C12" s="215">
        <v>27000</v>
      </c>
      <c r="E12" s="4">
        <v>635141508</v>
      </c>
      <c r="F12" s="4">
        <v>1050223768</v>
      </c>
      <c r="G12" s="215">
        <v>1050223768</v>
      </c>
      <c r="I12" s="4">
        <v>0</v>
      </c>
      <c r="J12" s="4">
        <v>0</v>
      </c>
      <c r="K12" s="216"/>
      <c r="L12" s="4">
        <v>0</v>
      </c>
      <c r="M12" s="4">
        <v>0</v>
      </c>
      <c r="O12" s="4">
        <v>27000</v>
      </c>
      <c r="Q12" s="217">
        <v>46180</v>
      </c>
      <c r="S12" s="4">
        <v>635141508</v>
      </c>
      <c r="U12" s="215">
        <v>1239441186</v>
      </c>
      <c r="V12" s="143"/>
      <c r="W12" s="8">
        <f>U12/درآمدها!$J$5</f>
        <v>8.7518563324156182E-3</v>
      </c>
      <c r="Y12" s="144"/>
      <c r="AB12" s="144"/>
      <c r="AC12" s="53"/>
      <c r="AD12" s="144"/>
      <c r="AE12" s="53"/>
      <c r="AF12" s="144"/>
    </row>
    <row r="13" spans="1:32" ht="28.5" customHeight="1">
      <c r="A13" s="4" t="s">
        <v>111</v>
      </c>
      <c r="C13" s="215">
        <v>1400000</v>
      </c>
      <c r="E13" s="4">
        <v>1683822057</v>
      </c>
      <c r="F13" s="4">
        <v>1948338000</v>
      </c>
      <c r="G13" s="215">
        <v>1948338000</v>
      </c>
      <c r="I13" s="4">
        <v>21600000</v>
      </c>
      <c r="J13" s="4">
        <v>31954015375</v>
      </c>
      <c r="K13" s="216"/>
      <c r="L13" s="4">
        <v>0</v>
      </c>
      <c r="M13" s="4">
        <v>0</v>
      </c>
      <c r="O13" s="4">
        <v>23000000</v>
      </c>
      <c r="Q13" s="217">
        <v>1372</v>
      </c>
      <c r="S13" s="4">
        <v>33637837432</v>
      </c>
      <c r="U13" s="215">
        <v>31368241800</v>
      </c>
      <c r="V13" s="143"/>
      <c r="W13" s="8">
        <f>U13/درآمدها!$J$5</f>
        <v>0.22149525829463138</v>
      </c>
      <c r="Y13" s="144"/>
      <c r="AB13" s="144"/>
      <c r="AC13" s="53"/>
      <c r="AD13" s="144"/>
      <c r="AE13" s="53"/>
      <c r="AF13" s="144"/>
    </row>
    <row r="14" spans="1:32" ht="28.5" customHeight="1">
      <c r="A14" s="4" t="s">
        <v>126</v>
      </c>
      <c r="C14" s="215">
        <v>180000</v>
      </c>
      <c r="E14" s="4">
        <v>3187142305</v>
      </c>
      <c r="F14" s="4">
        <v>3882759300</v>
      </c>
      <c r="G14" s="215">
        <v>3882759300</v>
      </c>
      <c r="I14" s="4">
        <v>0</v>
      </c>
      <c r="J14" s="4">
        <v>0</v>
      </c>
      <c r="K14" s="216"/>
      <c r="L14" s="4">
        <v>180000</v>
      </c>
      <c r="M14" s="4">
        <v>4043821270</v>
      </c>
      <c r="O14" s="4">
        <v>0</v>
      </c>
      <c r="Q14" s="217">
        <v>0</v>
      </c>
      <c r="S14" s="4">
        <v>0</v>
      </c>
      <c r="U14" s="215">
        <v>0</v>
      </c>
      <c r="V14" s="143"/>
      <c r="W14" s="8">
        <f>U14/درآمدها!$J$5</f>
        <v>0</v>
      </c>
      <c r="Y14" s="144"/>
      <c r="AB14" s="144"/>
      <c r="AC14" s="53"/>
      <c r="AD14" s="144"/>
      <c r="AE14" s="53"/>
      <c r="AF14" s="144"/>
    </row>
    <row r="15" spans="1:32" ht="28.5" customHeight="1">
      <c r="A15" s="4" t="s">
        <v>91</v>
      </c>
      <c r="C15" s="215">
        <v>378400</v>
      </c>
      <c r="E15" s="4">
        <v>4033994637</v>
      </c>
      <c r="F15" s="4">
        <v>3580933912</v>
      </c>
      <c r="G15" s="215">
        <v>3580933912</v>
      </c>
      <c r="I15" s="4">
        <v>0</v>
      </c>
      <c r="J15" s="4">
        <v>0</v>
      </c>
      <c r="K15" s="216"/>
      <c r="L15" s="4">
        <v>0</v>
      </c>
      <c r="M15" s="4">
        <v>0</v>
      </c>
      <c r="O15" s="4">
        <v>378400</v>
      </c>
      <c r="Q15" s="217">
        <v>9520</v>
      </c>
      <c r="S15" s="4">
        <v>4033994637</v>
      </c>
      <c r="U15" s="215">
        <v>3580933912</v>
      </c>
      <c r="V15" s="143"/>
      <c r="W15" s="8">
        <f>U15/درآمدها!$J$5</f>
        <v>2.5285442736367993E-2</v>
      </c>
      <c r="Y15" s="144"/>
      <c r="AB15" s="144"/>
      <c r="AC15" s="53"/>
      <c r="AD15" s="144"/>
      <c r="AE15" s="53"/>
      <c r="AF15" s="144"/>
    </row>
    <row r="16" spans="1:32" ht="28.5" customHeight="1">
      <c r="A16" s="4" t="s">
        <v>88</v>
      </c>
      <c r="C16" s="215">
        <v>300000</v>
      </c>
      <c r="E16" s="4">
        <v>2581059043</v>
      </c>
      <c r="F16" s="4">
        <v>2874792600</v>
      </c>
      <c r="G16" s="215">
        <v>2874792600</v>
      </c>
      <c r="I16" s="4">
        <v>0</v>
      </c>
      <c r="J16" s="4">
        <v>0</v>
      </c>
      <c r="K16" s="216"/>
      <c r="L16" s="4">
        <v>300000</v>
      </c>
      <c r="M16" s="4">
        <v>2786132621</v>
      </c>
      <c r="O16" s="4">
        <v>0</v>
      </c>
      <c r="Q16" s="217">
        <v>0</v>
      </c>
      <c r="S16" s="4">
        <v>0</v>
      </c>
      <c r="U16" s="215">
        <v>0</v>
      </c>
      <c r="V16" s="143"/>
      <c r="W16" s="8">
        <f>U16/درآمدها!$J$5</f>
        <v>0</v>
      </c>
      <c r="Y16" s="144"/>
      <c r="AB16" s="144"/>
      <c r="AC16" s="53"/>
      <c r="AD16" s="144"/>
      <c r="AE16" s="53"/>
      <c r="AF16" s="144"/>
    </row>
    <row r="17" spans="1:32" ht="28.5" customHeight="1">
      <c r="A17" s="4" t="s">
        <v>101</v>
      </c>
      <c r="C17" s="215">
        <v>47170</v>
      </c>
      <c r="E17" s="4">
        <v>326107546</v>
      </c>
      <c r="F17" s="4">
        <v>284618289</v>
      </c>
      <c r="G17" s="215">
        <v>284618289</v>
      </c>
      <c r="I17" s="4">
        <v>0</v>
      </c>
      <c r="J17" s="4">
        <v>0</v>
      </c>
      <c r="K17" s="216"/>
      <c r="L17" s="4">
        <v>0</v>
      </c>
      <c r="M17" s="4">
        <v>0</v>
      </c>
      <c r="O17" s="4">
        <v>47170</v>
      </c>
      <c r="Q17" s="217">
        <v>6620</v>
      </c>
      <c r="S17" s="4">
        <v>326107546</v>
      </c>
      <c r="U17" s="215">
        <v>310407426</v>
      </c>
      <c r="V17" s="143"/>
      <c r="W17" s="8">
        <f>U17/درآمدها!$J$5</f>
        <v>2.191827436067573E-3</v>
      </c>
      <c r="Y17" s="144"/>
      <c r="AB17" s="144"/>
      <c r="AC17" s="53"/>
      <c r="AD17" s="144"/>
      <c r="AE17" s="53"/>
      <c r="AF17" s="144"/>
    </row>
    <row r="18" spans="1:32" ht="28.5" customHeight="1">
      <c r="A18" s="4" t="s">
        <v>93</v>
      </c>
      <c r="C18" s="215">
        <v>766931</v>
      </c>
      <c r="E18" s="4">
        <v>1803107218</v>
      </c>
      <c r="F18" s="4">
        <v>2492180213</v>
      </c>
      <c r="G18" s="215">
        <v>2492180213</v>
      </c>
      <c r="I18" s="4">
        <v>0</v>
      </c>
      <c r="J18" s="4">
        <v>0</v>
      </c>
      <c r="K18" s="216"/>
      <c r="L18" s="4">
        <v>734936</v>
      </c>
      <c r="M18" s="4">
        <v>2326088119</v>
      </c>
      <c r="O18" s="4">
        <v>31995</v>
      </c>
      <c r="Q18" s="217">
        <v>3148</v>
      </c>
      <c r="S18" s="4">
        <v>75222433</v>
      </c>
      <c r="U18" s="215">
        <v>100120977</v>
      </c>
      <c r="V18" s="143"/>
      <c r="W18" s="8">
        <f>U18/درآمدها!$J$5</f>
        <v>7.0696731435313811E-4</v>
      </c>
      <c r="Y18" s="144"/>
      <c r="AB18" s="145"/>
      <c r="AC18" s="53"/>
      <c r="AD18" s="144"/>
      <c r="AE18" s="53"/>
      <c r="AF18" s="144"/>
    </row>
    <row r="19" spans="1:32" ht="28.5" customHeight="1">
      <c r="A19" s="4" t="s">
        <v>90</v>
      </c>
      <c r="C19" s="215">
        <v>200000</v>
      </c>
      <c r="E19" s="4">
        <v>3650519317</v>
      </c>
      <c r="F19" s="4">
        <v>4556725200</v>
      </c>
      <c r="G19" s="215">
        <v>4556725200</v>
      </c>
      <c r="I19" s="4">
        <v>0</v>
      </c>
      <c r="J19" s="4">
        <v>0</v>
      </c>
      <c r="K19" s="216"/>
      <c r="L19" s="4">
        <v>200000</v>
      </c>
      <c r="M19" s="4">
        <v>5057726414</v>
      </c>
      <c r="O19" s="4">
        <v>0</v>
      </c>
      <c r="Q19" s="217">
        <v>0</v>
      </c>
      <c r="S19" s="4">
        <v>0</v>
      </c>
      <c r="U19" s="215">
        <v>0</v>
      </c>
      <c r="V19" s="143"/>
      <c r="W19" s="8">
        <f>U19/درآمدها!$J$5</f>
        <v>0</v>
      </c>
      <c r="Y19" s="144"/>
      <c r="AB19" s="144"/>
      <c r="AC19" s="53"/>
      <c r="AD19" s="144"/>
      <c r="AE19" s="53"/>
      <c r="AF19" s="144"/>
    </row>
    <row r="20" spans="1:32" ht="28.5" customHeight="1">
      <c r="A20" s="4" t="s">
        <v>89</v>
      </c>
      <c r="C20" s="215">
        <v>260000</v>
      </c>
      <c r="E20" s="4">
        <v>4961225182</v>
      </c>
      <c r="F20" s="4">
        <v>6133089691</v>
      </c>
      <c r="G20" s="215">
        <v>6133089691</v>
      </c>
      <c r="I20" s="4">
        <v>0</v>
      </c>
      <c r="J20" s="4">
        <v>0</v>
      </c>
      <c r="K20" s="216"/>
      <c r="L20" s="4">
        <v>260000</v>
      </c>
      <c r="M20" s="4">
        <v>7174434771</v>
      </c>
      <c r="O20" s="4">
        <v>0</v>
      </c>
      <c r="Q20" s="217">
        <v>0</v>
      </c>
      <c r="S20" s="4">
        <v>0</v>
      </c>
      <c r="U20" s="215">
        <v>0</v>
      </c>
      <c r="V20" s="143"/>
      <c r="W20" s="8">
        <f>U20/درآمدها!$J$5</f>
        <v>0</v>
      </c>
      <c r="Y20" s="144"/>
      <c r="AB20" s="144"/>
      <c r="AC20" s="53"/>
      <c r="AD20" s="144"/>
      <c r="AE20" s="53"/>
      <c r="AF20" s="144"/>
    </row>
    <row r="21" spans="1:32" ht="28.5" customHeight="1">
      <c r="A21" s="4" t="s">
        <v>140</v>
      </c>
      <c r="C21" s="215">
        <v>400000</v>
      </c>
      <c r="E21" s="4">
        <v>3487163454</v>
      </c>
      <c r="F21" s="4">
        <v>3447365400</v>
      </c>
      <c r="G21" s="215">
        <v>3447365400</v>
      </c>
      <c r="I21" s="4">
        <v>0</v>
      </c>
      <c r="J21" s="4">
        <v>0</v>
      </c>
      <c r="K21" s="216"/>
      <c r="L21" s="4">
        <v>400000</v>
      </c>
      <c r="M21" s="4">
        <v>4059700214</v>
      </c>
      <c r="O21" s="4">
        <v>0</v>
      </c>
      <c r="Q21" s="217">
        <v>0</v>
      </c>
      <c r="S21" s="4">
        <v>0</v>
      </c>
      <c r="U21" s="215">
        <v>0</v>
      </c>
      <c r="V21" s="143"/>
      <c r="W21" s="8">
        <f>U21/درآمدها!$J$5</f>
        <v>0</v>
      </c>
      <c r="Y21" s="144"/>
      <c r="AB21" s="144"/>
      <c r="AC21" s="53"/>
      <c r="AD21" s="144"/>
      <c r="AE21" s="53"/>
      <c r="AF21" s="144"/>
    </row>
    <row r="22" spans="1:32" ht="28.5" customHeight="1">
      <c r="A22" s="4" t="s">
        <v>102</v>
      </c>
      <c r="C22" s="215">
        <v>1100000</v>
      </c>
      <c r="E22" s="4">
        <v>3652809977</v>
      </c>
      <c r="F22" s="4">
        <v>3986736931</v>
      </c>
      <c r="G22" s="215">
        <v>3986736931</v>
      </c>
      <c r="I22" s="4">
        <v>0</v>
      </c>
      <c r="J22" s="4">
        <v>0</v>
      </c>
      <c r="K22" s="216"/>
      <c r="L22" s="4">
        <v>1100000</v>
      </c>
      <c r="M22" s="4">
        <v>4397180212</v>
      </c>
      <c r="O22" s="4">
        <v>0</v>
      </c>
      <c r="Q22" s="217">
        <v>0</v>
      </c>
      <c r="S22" s="4">
        <v>0</v>
      </c>
      <c r="U22" s="215">
        <v>0</v>
      </c>
      <c r="V22" s="143"/>
      <c r="W22" s="8">
        <f>U22/درآمدها!$J$5</f>
        <v>0</v>
      </c>
      <c r="Y22" s="144"/>
      <c r="AB22" s="144"/>
      <c r="AC22" s="53"/>
      <c r="AD22" s="144"/>
      <c r="AE22" s="53"/>
      <c r="AF22" s="144"/>
    </row>
    <row r="23" spans="1:32" ht="28.5" customHeight="1">
      <c r="A23" s="4" t="s">
        <v>113</v>
      </c>
      <c r="C23" s="215">
        <v>200000</v>
      </c>
      <c r="E23" s="4">
        <v>1691534520</v>
      </c>
      <c r="F23" s="4">
        <v>1902611700</v>
      </c>
      <c r="G23" s="215">
        <v>1902611700</v>
      </c>
      <c r="I23" s="4">
        <v>0</v>
      </c>
      <c r="J23" s="4">
        <v>0</v>
      </c>
      <c r="K23" s="216"/>
      <c r="L23" s="4">
        <v>0</v>
      </c>
      <c r="M23" s="4">
        <v>0</v>
      </c>
      <c r="O23" s="4">
        <v>200000</v>
      </c>
      <c r="Q23" s="217">
        <v>10020</v>
      </c>
      <c r="S23" s="4">
        <v>1691534520</v>
      </c>
      <c r="U23" s="215">
        <v>1992076200</v>
      </c>
      <c r="V23" s="143"/>
      <c r="W23" s="8">
        <f>U23/درآمدها!$J$5</f>
        <v>1.4066310610420881E-2</v>
      </c>
      <c r="Y23" s="144"/>
      <c r="AB23" s="144"/>
      <c r="AC23" s="53"/>
      <c r="AD23" s="144"/>
      <c r="AE23" s="53"/>
      <c r="AF23" s="144"/>
    </row>
    <row r="24" spans="1:32" ht="28.5" customHeight="1">
      <c r="A24" s="4" t="s">
        <v>92</v>
      </c>
      <c r="C24" s="215">
        <v>438428</v>
      </c>
      <c r="E24" s="4">
        <v>3124782454</v>
      </c>
      <c r="F24" s="4">
        <v>2994078959</v>
      </c>
      <c r="G24" s="215">
        <v>2994078959</v>
      </c>
      <c r="I24" s="4">
        <v>0</v>
      </c>
      <c r="J24" s="4">
        <v>0</v>
      </c>
      <c r="K24" s="216"/>
      <c r="L24" s="4">
        <v>438428</v>
      </c>
      <c r="M24" s="4">
        <v>3120466586</v>
      </c>
      <c r="O24" s="4">
        <v>0</v>
      </c>
      <c r="Q24" s="217">
        <v>0</v>
      </c>
      <c r="S24" s="4">
        <v>0</v>
      </c>
      <c r="U24" s="215">
        <v>0</v>
      </c>
      <c r="V24" s="143"/>
      <c r="W24" s="8">
        <f>U24/درآمدها!$J$5</f>
        <v>0</v>
      </c>
      <c r="Y24" s="144"/>
      <c r="AB24" s="144"/>
      <c r="AC24" s="53"/>
      <c r="AD24" s="144"/>
      <c r="AE24" s="53"/>
      <c r="AF24" s="144"/>
    </row>
    <row r="25" spans="1:32" ht="28.5" customHeight="1">
      <c r="A25" s="4" t="s">
        <v>112</v>
      </c>
      <c r="C25" s="215">
        <v>572500</v>
      </c>
      <c r="E25" s="4">
        <v>7563861753</v>
      </c>
      <c r="F25" s="4">
        <v>11296508459</v>
      </c>
      <c r="G25" s="215">
        <v>11296508459</v>
      </c>
      <c r="I25" s="4">
        <v>0</v>
      </c>
      <c r="J25" s="4">
        <v>0</v>
      </c>
      <c r="K25" s="216"/>
      <c r="L25" s="4">
        <v>0</v>
      </c>
      <c r="M25" s="4">
        <v>0</v>
      </c>
      <c r="O25" s="4">
        <v>572500</v>
      </c>
      <c r="Q25" s="217">
        <v>16550</v>
      </c>
      <c r="S25" s="4">
        <v>7563861753</v>
      </c>
      <c r="U25" s="215">
        <v>9418499495</v>
      </c>
      <c r="V25" s="143"/>
      <c r="W25" s="8">
        <f>U25/درآمدها!$J$5</f>
        <v>6.6505256867564699E-2</v>
      </c>
      <c r="Y25" s="144"/>
      <c r="AB25" s="144"/>
      <c r="AC25" s="53"/>
      <c r="AD25" s="144"/>
      <c r="AE25" s="53"/>
      <c r="AF25" s="144"/>
    </row>
    <row r="26" spans="1:32" ht="28.5" customHeight="1">
      <c r="A26" s="4" t="s">
        <v>99</v>
      </c>
      <c r="C26" s="215">
        <v>23000</v>
      </c>
      <c r="E26" s="4">
        <v>587934524</v>
      </c>
      <c r="F26" s="4">
        <v>782605628</v>
      </c>
      <c r="G26" s="215">
        <v>782605628</v>
      </c>
      <c r="I26" s="4">
        <v>0</v>
      </c>
      <c r="J26" s="4">
        <v>0</v>
      </c>
      <c r="K26" s="216"/>
      <c r="L26" s="4">
        <v>0</v>
      </c>
      <c r="M26" s="4">
        <v>0</v>
      </c>
      <c r="O26" s="4">
        <v>23000</v>
      </c>
      <c r="Q26" s="217">
        <v>43460</v>
      </c>
      <c r="S26" s="4">
        <v>587934524</v>
      </c>
      <c r="U26" s="215">
        <v>993632502</v>
      </c>
      <c r="V26" s="143"/>
      <c r="W26" s="8">
        <f>U26/درآمدها!$J$5</f>
        <v>7.0161690630818471E-3</v>
      </c>
      <c r="Y26" s="144"/>
      <c r="AB26" s="144"/>
      <c r="AC26" s="53"/>
      <c r="AD26" s="144"/>
      <c r="AE26" s="53"/>
      <c r="AF26" s="144"/>
    </row>
    <row r="27" spans="1:32" ht="28.5" customHeight="1">
      <c r="A27" s="4" t="s">
        <v>109</v>
      </c>
      <c r="C27" s="215">
        <v>120000</v>
      </c>
      <c r="E27" s="4">
        <v>1560305318</v>
      </c>
      <c r="F27" s="4">
        <v>1945554661</v>
      </c>
      <c r="G27" s="215">
        <v>1945554661</v>
      </c>
      <c r="I27" s="4">
        <v>0</v>
      </c>
      <c r="J27" s="4">
        <v>0</v>
      </c>
      <c r="K27" s="216"/>
      <c r="L27" s="4">
        <v>120000</v>
      </c>
      <c r="M27" s="4">
        <v>2100626495</v>
      </c>
      <c r="O27" s="4">
        <v>0</v>
      </c>
      <c r="Q27" s="217">
        <v>0</v>
      </c>
      <c r="S27" s="4">
        <v>0</v>
      </c>
      <c r="U27" s="215">
        <v>0</v>
      </c>
      <c r="V27" s="143"/>
      <c r="W27" s="8">
        <f>U27/درآمدها!$J$5</f>
        <v>0</v>
      </c>
      <c r="Y27" s="144"/>
      <c r="AB27" s="144"/>
      <c r="AC27" s="53"/>
      <c r="AD27" s="144"/>
      <c r="AE27" s="53"/>
      <c r="AF27" s="144"/>
    </row>
    <row r="28" spans="1:32" ht="28.5" customHeight="1">
      <c r="A28" s="4" t="s">
        <v>133</v>
      </c>
      <c r="C28" s="215">
        <v>59000</v>
      </c>
      <c r="E28" s="4">
        <v>1205272577</v>
      </c>
      <c r="F28" s="4">
        <v>1392912564</v>
      </c>
      <c r="G28" s="215">
        <v>1392912564</v>
      </c>
      <c r="I28" s="4">
        <v>0</v>
      </c>
      <c r="J28" s="4">
        <v>0</v>
      </c>
      <c r="K28" s="216"/>
      <c r="L28" s="4">
        <v>0</v>
      </c>
      <c r="M28" s="4">
        <v>0</v>
      </c>
      <c r="O28" s="4">
        <v>59000</v>
      </c>
      <c r="Q28" s="217">
        <v>34550</v>
      </c>
      <c r="S28" s="4">
        <v>1205272577</v>
      </c>
      <c r="U28" s="215">
        <v>2026321225</v>
      </c>
      <c r="V28" s="143"/>
      <c r="W28" s="8">
        <f>U28/درآمدها!$J$5</f>
        <v>1.430811921117201E-2</v>
      </c>
      <c r="Y28" s="144"/>
      <c r="AB28" s="144"/>
      <c r="AC28" s="53"/>
      <c r="AD28" s="144"/>
      <c r="AE28" s="53"/>
      <c r="AF28" s="144"/>
    </row>
    <row r="29" spans="1:32" ht="28.5" customHeight="1">
      <c r="A29" s="4" t="s">
        <v>135</v>
      </c>
      <c r="C29" s="215">
        <v>70000</v>
      </c>
      <c r="E29" s="4">
        <v>1768956269</v>
      </c>
      <c r="F29" s="4">
        <v>2066629950</v>
      </c>
      <c r="G29" s="215">
        <v>2066629950</v>
      </c>
      <c r="I29" s="4">
        <v>0</v>
      </c>
      <c r="J29" s="4">
        <v>0</v>
      </c>
      <c r="K29" s="216"/>
      <c r="L29" s="4">
        <v>0</v>
      </c>
      <c r="M29" s="4">
        <v>0</v>
      </c>
      <c r="O29" s="4">
        <v>70000</v>
      </c>
      <c r="Q29" s="217">
        <v>38750</v>
      </c>
      <c r="S29" s="4">
        <v>1768956269</v>
      </c>
      <c r="U29" s="215">
        <v>2696360625</v>
      </c>
      <c r="V29" s="143"/>
      <c r="W29" s="8">
        <f>U29/درآمدها!$J$5</f>
        <v>1.9039355055272773E-2</v>
      </c>
      <c r="Y29" s="144"/>
      <c r="AB29" s="144"/>
      <c r="AC29" s="53"/>
      <c r="AD29" s="144"/>
      <c r="AE29" s="53"/>
      <c r="AF29" s="144"/>
    </row>
    <row r="30" spans="1:32" ht="28.5" customHeight="1" thickBot="1">
      <c r="A30" s="4" t="s">
        <v>2</v>
      </c>
      <c r="C30" s="215"/>
      <c r="E30" s="218">
        <f>SUM(E10:E29)</f>
        <v>52885385432</v>
      </c>
      <c r="G30" s="219">
        <f>SUM(G10:G29)</f>
        <v>62261887075</v>
      </c>
      <c r="J30" s="218">
        <f>SUM(J10:J29)</f>
        <v>31954015375</v>
      </c>
      <c r="K30" s="216"/>
      <c r="M30" s="218">
        <f>SUM(M10:M29)</f>
        <v>41624097178</v>
      </c>
      <c r="S30" s="218">
        <f>SUM(S10:S29)</f>
        <v>51525863199</v>
      </c>
      <c r="U30" s="218">
        <f>SUM(U10:U29)</f>
        <v>53726035348</v>
      </c>
      <c r="V30" s="143"/>
      <c r="W30" s="51">
        <f>SUM(W10:W29)</f>
        <v>0.37936656292134796</v>
      </c>
      <c r="Y30" s="144"/>
      <c r="AB30" s="144"/>
      <c r="AC30" s="53"/>
      <c r="AD30" s="144"/>
      <c r="AE30" s="53"/>
      <c r="AF30" s="144"/>
    </row>
    <row r="31" spans="1:32" ht="31.5" thickTop="1">
      <c r="A31" s="4"/>
      <c r="Y31" s="144"/>
    </row>
    <row r="32" spans="1:32" ht="32.25" customHeight="1">
      <c r="B32" s="4"/>
    </row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185" spans="25:25">
      <c r="Y185" s="137" t="s">
        <v>55</v>
      </c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printOptions horizontalCentered="1"/>
  <pageMargins left="0" right="0" top="0.74803149606299202" bottom="0.74803149606299202" header="0.31496062992126" footer="0.31496062992126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17"/>
  <sheetViews>
    <sheetView rightToLeft="1" view="pageBreakPreview" zoomScale="55" zoomScaleNormal="100" zoomScaleSheetLayoutView="55" workbookViewId="0">
      <selection activeCell="E11" sqref="E11"/>
    </sheetView>
  </sheetViews>
  <sheetFormatPr defaultColWidth="9.140625" defaultRowHeight="27.75"/>
  <cols>
    <col min="1" max="1" width="43.28515625" style="148" bestFit="1" customWidth="1"/>
    <col min="2" max="2" width="0.5703125" style="148" customWidth="1"/>
    <col min="3" max="3" width="26.140625" style="148" bestFit="1" customWidth="1"/>
    <col min="4" max="4" width="0.5703125" style="148" customWidth="1"/>
    <col min="5" max="5" width="37.5703125" style="148" bestFit="1" customWidth="1"/>
    <col min="6" max="6" width="0.5703125" style="148" customWidth="1"/>
    <col min="7" max="7" width="21.42578125" style="148" bestFit="1" customWidth="1"/>
    <col min="8" max="8" width="0.5703125" style="148" customWidth="1"/>
    <col min="9" max="9" width="21.28515625" style="148" bestFit="1" customWidth="1"/>
    <col min="10" max="10" width="0.42578125" style="148" customWidth="1"/>
    <col min="11" max="11" width="17.28515625" style="148" bestFit="1" customWidth="1"/>
    <col min="12" max="12" width="0.7109375" style="148" customWidth="1"/>
    <col min="13" max="13" width="16.140625" style="148" bestFit="1" customWidth="1"/>
    <col min="14" max="14" width="1.140625" style="148" customWidth="1"/>
    <col min="15" max="15" width="31.85546875" style="148" bestFit="1" customWidth="1"/>
    <col min="16" max="16" width="0.5703125" style="148" customWidth="1"/>
    <col min="17" max="17" width="31.85546875" style="148" bestFit="1" customWidth="1"/>
    <col min="18" max="18" width="0.5703125" style="148" customWidth="1"/>
    <col min="19" max="19" width="9.7109375" style="148" bestFit="1" customWidth="1"/>
    <col min="20" max="20" width="16.28515625" style="148" bestFit="1" customWidth="1"/>
    <col min="21" max="21" width="0.5703125" style="148" customWidth="1"/>
    <col min="22" max="22" width="10.28515625" style="148" bestFit="1" customWidth="1"/>
    <col min="23" max="23" width="21.7109375" style="148" bestFit="1" customWidth="1"/>
    <col min="24" max="24" width="0.5703125" style="148" customWidth="1"/>
    <col min="25" max="25" width="16.140625" style="148" bestFit="1" customWidth="1"/>
    <col min="26" max="26" width="0.42578125" style="148" customWidth="1"/>
    <col min="27" max="27" width="22.42578125" style="148" bestFit="1" customWidth="1"/>
    <col min="28" max="28" width="0.7109375" style="148" customWidth="1"/>
    <col min="29" max="29" width="31.85546875" style="148" bestFit="1" customWidth="1"/>
    <col min="30" max="30" width="0.7109375" style="148" customWidth="1"/>
    <col min="31" max="31" width="31.85546875" style="148" bestFit="1" customWidth="1"/>
    <col min="32" max="32" width="0.7109375" style="148" customWidth="1"/>
    <col min="33" max="33" width="23.7109375" style="148" bestFit="1" customWidth="1"/>
    <col min="34" max="34" width="25.42578125" style="147" bestFit="1" customWidth="1"/>
    <col min="35" max="36" width="9.140625" style="147"/>
    <col min="37" max="16384" width="9.140625" style="148"/>
  </cols>
  <sheetData>
    <row r="1" spans="1:36" s="55" customFormat="1" ht="27">
      <c r="A1" s="263" t="s">
        <v>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146"/>
      <c r="AI1" s="146"/>
      <c r="AJ1" s="146"/>
    </row>
    <row r="2" spans="1:36" s="55" customFormat="1" ht="27">
      <c r="A2" s="263" t="s">
        <v>46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146"/>
      <c r="AI2" s="146"/>
      <c r="AJ2" s="146"/>
    </row>
    <row r="3" spans="1:36" s="55" customFormat="1" ht="27">
      <c r="A3" s="263" t="str">
        <f>' سهام'!A3:W3</f>
        <v>برای ماه منتهی به 1403/10/30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146"/>
      <c r="AI3" s="146"/>
      <c r="AJ3" s="146"/>
    </row>
    <row r="4" spans="1:36">
      <c r="A4" s="264" t="s">
        <v>63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</row>
    <row r="5" spans="1:36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</row>
    <row r="6" spans="1:36" ht="27.75" customHeight="1" thickBot="1">
      <c r="A6" s="265" t="s">
        <v>64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 t="str">
        <f>' سهام'!C7</f>
        <v>1403/09/30</v>
      </c>
      <c r="N6" s="265"/>
      <c r="O6" s="265"/>
      <c r="P6" s="265"/>
      <c r="Q6" s="265"/>
      <c r="R6" s="149"/>
      <c r="S6" s="266" t="s">
        <v>7</v>
      </c>
      <c r="T6" s="266"/>
      <c r="U6" s="266"/>
      <c r="V6" s="266"/>
      <c r="W6" s="266"/>
      <c r="X6" s="114"/>
      <c r="Y6" s="265" t="str">
        <f>' سهام'!O7</f>
        <v>1403/10/30</v>
      </c>
      <c r="Z6" s="265"/>
      <c r="AA6" s="265"/>
      <c r="AB6" s="265"/>
      <c r="AC6" s="265"/>
      <c r="AD6" s="265"/>
      <c r="AE6" s="265"/>
      <c r="AF6" s="265"/>
      <c r="AG6" s="265"/>
    </row>
    <row r="7" spans="1:36" ht="26.25" customHeight="1">
      <c r="A7" s="268" t="s">
        <v>65</v>
      </c>
      <c r="B7" s="150"/>
      <c r="C7" s="269" t="s">
        <v>66</v>
      </c>
      <c r="D7" s="150"/>
      <c r="E7" s="271" t="s">
        <v>71</v>
      </c>
      <c r="F7" s="150"/>
      <c r="G7" s="267" t="s">
        <v>67</v>
      </c>
      <c r="H7" s="150"/>
      <c r="I7" s="269" t="s">
        <v>20</v>
      </c>
      <c r="J7" s="150"/>
      <c r="K7" s="271" t="s">
        <v>68</v>
      </c>
      <c r="L7" s="151"/>
      <c r="M7" s="272" t="s">
        <v>3</v>
      </c>
      <c r="N7" s="267"/>
      <c r="O7" s="267" t="s">
        <v>0</v>
      </c>
      <c r="P7" s="267"/>
      <c r="Q7" s="267" t="s">
        <v>18</v>
      </c>
      <c r="R7" s="150"/>
      <c r="S7" s="263" t="s">
        <v>4</v>
      </c>
      <c r="T7" s="263"/>
      <c r="U7" s="114"/>
      <c r="V7" s="263" t="s">
        <v>5</v>
      </c>
      <c r="W7" s="263"/>
      <c r="X7" s="114"/>
      <c r="Y7" s="272" t="s">
        <v>3</v>
      </c>
      <c r="Z7" s="268"/>
      <c r="AA7" s="267" t="s">
        <v>69</v>
      </c>
      <c r="AB7" s="150"/>
      <c r="AC7" s="267" t="s">
        <v>0</v>
      </c>
      <c r="AD7" s="268"/>
      <c r="AE7" s="267" t="s">
        <v>18</v>
      </c>
      <c r="AF7" s="152"/>
      <c r="AG7" s="267" t="s">
        <v>19</v>
      </c>
    </row>
    <row r="8" spans="1:36" s="156" customFormat="1" ht="55.5" customHeight="1" thickBot="1">
      <c r="A8" s="265"/>
      <c r="B8" s="150"/>
      <c r="C8" s="270"/>
      <c r="D8" s="150"/>
      <c r="E8" s="270"/>
      <c r="F8" s="150"/>
      <c r="G8" s="265"/>
      <c r="H8" s="150"/>
      <c r="I8" s="270"/>
      <c r="J8" s="150"/>
      <c r="K8" s="270"/>
      <c r="L8" s="149"/>
      <c r="M8" s="273"/>
      <c r="N8" s="268"/>
      <c r="O8" s="265"/>
      <c r="P8" s="268"/>
      <c r="Q8" s="265"/>
      <c r="R8" s="150"/>
      <c r="S8" s="153" t="s">
        <v>3</v>
      </c>
      <c r="T8" s="153" t="s">
        <v>0</v>
      </c>
      <c r="U8" s="154"/>
      <c r="V8" s="153" t="s">
        <v>3</v>
      </c>
      <c r="W8" s="153" t="s">
        <v>45</v>
      </c>
      <c r="X8" s="154"/>
      <c r="Y8" s="273"/>
      <c r="Z8" s="268"/>
      <c r="AA8" s="265"/>
      <c r="AB8" s="150"/>
      <c r="AC8" s="265"/>
      <c r="AD8" s="268"/>
      <c r="AE8" s="265"/>
      <c r="AF8" s="152"/>
      <c r="AG8" s="265"/>
      <c r="AH8" s="155"/>
      <c r="AI8" s="155"/>
      <c r="AJ8" s="155"/>
    </row>
    <row r="9" spans="1:36" s="156" customFormat="1" ht="55.5" customHeight="1">
      <c r="A9" s="157" t="s">
        <v>103</v>
      </c>
      <c r="B9" s="150"/>
      <c r="C9" s="158" t="s">
        <v>100</v>
      </c>
      <c r="D9" s="137"/>
      <c r="E9" s="158" t="s">
        <v>100</v>
      </c>
      <c r="F9" s="137"/>
      <c r="G9" s="158" t="s">
        <v>105</v>
      </c>
      <c r="H9" s="137"/>
      <c r="I9" s="158" t="s">
        <v>107</v>
      </c>
      <c r="J9" s="158"/>
      <c r="K9" s="159">
        <v>1000000</v>
      </c>
      <c r="L9" s="149"/>
      <c r="M9" s="4">
        <v>10000</v>
      </c>
      <c r="N9" s="216"/>
      <c r="O9" s="4">
        <v>6741141541</v>
      </c>
      <c r="P9" s="4"/>
      <c r="Q9" s="4">
        <v>8399477320</v>
      </c>
      <c r="R9" s="4"/>
      <c r="S9" s="4">
        <v>0</v>
      </c>
      <c r="T9" s="4">
        <v>0</v>
      </c>
      <c r="U9" s="4"/>
      <c r="V9" s="4">
        <v>0</v>
      </c>
      <c r="W9" s="4">
        <v>0</v>
      </c>
      <c r="X9" s="4"/>
      <c r="Y9" s="4">
        <v>10000</v>
      </c>
      <c r="Z9" s="4"/>
      <c r="AA9" s="220">
        <v>856010</v>
      </c>
      <c r="AB9" s="4"/>
      <c r="AC9" s="4">
        <v>6741141541</v>
      </c>
      <c r="AD9" s="4"/>
      <c r="AE9" s="4">
        <v>8558548483</v>
      </c>
      <c r="AG9" s="8">
        <f>AE9/درآمدها!$J$5</f>
        <v>6.0433030290821421E-2</v>
      </c>
      <c r="AH9" s="134"/>
      <c r="AI9" s="155"/>
      <c r="AJ9" s="155"/>
    </row>
    <row r="10" spans="1:36" s="156" customFormat="1" ht="55.5" customHeight="1">
      <c r="A10" s="157" t="s">
        <v>114</v>
      </c>
      <c r="B10" s="150"/>
      <c r="C10" s="158" t="s">
        <v>100</v>
      </c>
      <c r="D10" s="137"/>
      <c r="E10" s="158" t="s">
        <v>100</v>
      </c>
      <c r="F10" s="137"/>
      <c r="G10" s="158" t="s">
        <v>115</v>
      </c>
      <c r="H10" s="137"/>
      <c r="I10" s="158" t="s">
        <v>116</v>
      </c>
      <c r="J10" s="158"/>
      <c r="K10" s="159">
        <v>1000000</v>
      </c>
      <c r="L10" s="149"/>
      <c r="M10" s="4">
        <v>7800</v>
      </c>
      <c r="N10" s="216"/>
      <c r="O10" s="4">
        <v>4829344249</v>
      </c>
      <c r="P10" s="4"/>
      <c r="Q10" s="4">
        <v>6004911413</v>
      </c>
      <c r="R10" s="4"/>
      <c r="S10" s="4">
        <v>0</v>
      </c>
      <c r="T10" s="4">
        <v>0</v>
      </c>
      <c r="U10" s="4"/>
      <c r="V10" s="4">
        <v>0</v>
      </c>
      <c r="W10" s="4">
        <v>0</v>
      </c>
      <c r="X10" s="4"/>
      <c r="Y10" s="4">
        <v>7800</v>
      </c>
      <c r="Z10" s="4"/>
      <c r="AA10" s="220">
        <v>776420</v>
      </c>
      <c r="AB10" s="4"/>
      <c r="AC10" s="4">
        <v>4829344249</v>
      </c>
      <c r="AD10" s="4"/>
      <c r="AE10" s="4">
        <v>6054978338</v>
      </c>
      <c r="AG10" s="8">
        <f>AE10/درآمدها!$J$5</f>
        <v>4.275499403169316E-2</v>
      </c>
      <c r="AH10" s="134"/>
      <c r="AI10" s="155"/>
      <c r="AJ10" s="155"/>
    </row>
    <row r="11" spans="1:36" s="156" customFormat="1" ht="55.5" customHeight="1" thickBot="1">
      <c r="A11" s="157" t="s">
        <v>104</v>
      </c>
      <c r="B11" s="150"/>
      <c r="C11" s="158" t="s">
        <v>100</v>
      </c>
      <c r="D11" s="137"/>
      <c r="E11" s="158" t="s">
        <v>100</v>
      </c>
      <c r="F11" s="137"/>
      <c r="G11" s="158" t="s">
        <v>106</v>
      </c>
      <c r="H11" s="137"/>
      <c r="I11" s="158" t="s">
        <v>108</v>
      </c>
      <c r="J11" s="158"/>
      <c r="K11" s="159">
        <v>1000000</v>
      </c>
      <c r="L11" s="149"/>
      <c r="M11" s="4">
        <v>10000</v>
      </c>
      <c r="N11" s="216"/>
      <c r="O11" s="4">
        <v>5485860797</v>
      </c>
      <c r="P11" s="4"/>
      <c r="Q11" s="4">
        <v>6691686913</v>
      </c>
      <c r="R11" s="4"/>
      <c r="S11" s="4">
        <v>0</v>
      </c>
      <c r="T11" s="4">
        <v>0</v>
      </c>
      <c r="U11" s="4"/>
      <c r="V11" s="4">
        <v>0</v>
      </c>
      <c r="W11" s="4">
        <v>0</v>
      </c>
      <c r="X11" s="4"/>
      <c r="Y11" s="4">
        <v>10000</v>
      </c>
      <c r="Z11" s="4"/>
      <c r="AA11" s="220">
        <v>667840</v>
      </c>
      <c r="AB11" s="4"/>
      <c r="AC11" s="4">
        <v>5485860797</v>
      </c>
      <c r="AD11" s="4"/>
      <c r="AE11" s="4">
        <v>6677189540</v>
      </c>
      <c r="AG11" s="8">
        <f>AE11/درآمدها!$J$5</f>
        <v>4.7148508713819939E-2</v>
      </c>
      <c r="AH11" s="134"/>
      <c r="AI11" s="155"/>
      <c r="AJ11" s="155"/>
    </row>
    <row r="12" spans="1:36" s="162" customFormat="1" ht="32.25" thickBot="1">
      <c r="A12" s="138" t="s">
        <v>2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4"/>
      <c r="N12" s="221"/>
      <c r="O12" s="222">
        <f>SUM(O9:O11)</f>
        <v>17056346587</v>
      </c>
      <c r="P12" s="221"/>
      <c r="Q12" s="222">
        <f>SUM(Q9:Q11)</f>
        <v>21096075646</v>
      </c>
      <c r="R12" s="221"/>
      <c r="S12" s="223"/>
      <c r="T12" s="222">
        <f>SUM(T9:T11)</f>
        <v>0</v>
      </c>
      <c r="U12" s="221"/>
      <c r="V12" s="223"/>
      <c r="W12" s="222">
        <f>SUM(W9:W11)</f>
        <v>0</v>
      </c>
      <c r="X12" s="221"/>
      <c r="Y12" s="223"/>
      <c r="Z12" s="221"/>
      <c r="AA12" s="221"/>
      <c r="AB12" s="221"/>
      <c r="AC12" s="222">
        <f>SUM(AC9:AC11)</f>
        <v>17056346587</v>
      </c>
      <c r="AD12" s="221"/>
      <c r="AE12" s="222">
        <f>SUM(AE9:AE11)</f>
        <v>21290716361</v>
      </c>
      <c r="AF12" s="148"/>
      <c r="AG12" s="160">
        <f>SUM(AG9:AG11)</f>
        <v>0.15033653303633454</v>
      </c>
      <c r="AH12" s="161"/>
      <c r="AI12" s="161"/>
      <c r="AJ12" s="161"/>
    </row>
    <row r="13" spans="1:36" s="163" customFormat="1" ht="32.25" thickTop="1">
      <c r="M13" s="148"/>
      <c r="N13" s="148"/>
      <c r="P13" s="148"/>
      <c r="R13" s="148"/>
      <c r="S13" s="148"/>
      <c r="U13" s="148"/>
      <c r="V13" s="148"/>
      <c r="X13" s="148"/>
      <c r="Y13" s="148"/>
      <c r="Z13" s="148"/>
      <c r="AA13" s="148"/>
      <c r="AB13" s="148"/>
      <c r="AD13" s="148"/>
      <c r="AF13" s="148"/>
      <c r="AH13" s="147"/>
      <c r="AI13" s="147"/>
      <c r="AJ13" s="147"/>
    </row>
    <row r="15" spans="1:36" ht="30.75"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6" ht="30.75"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3:31" ht="30.75"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</sheetData>
  <mergeCells count="28">
    <mergeCell ref="AD7:AD8"/>
    <mergeCell ref="AE7:AE8"/>
    <mergeCell ref="AG7:AG8"/>
    <mergeCell ref="S7:T7"/>
    <mergeCell ref="V7:W7"/>
    <mergeCell ref="Y7:Y8"/>
    <mergeCell ref="Z7:Z8"/>
    <mergeCell ref="AA7:AA8"/>
    <mergeCell ref="AC7:AC8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1:AG1"/>
    <mergeCell ref="A2:AG2"/>
    <mergeCell ref="A3:AG3"/>
    <mergeCell ref="A4:AG4"/>
    <mergeCell ref="A6:L6"/>
    <mergeCell ref="M6:Q6"/>
    <mergeCell ref="S6:W6"/>
    <mergeCell ref="Y6:AG6"/>
  </mergeCells>
  <pageMargins left="0.25" right="0.25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C881-7777-464D-8E69-C2FA3CF54237}">
  <sheetPr>
    <pageSetUpPr fitToPage="1"/>
  </sheetPr>
  <dimension ref="A1:O15"/>
  <sheetViews>
    <sheetView rightToLeft="1" view="pageBreakPreview" zoomScaleNormal="100" zoomScaleSheetLayoutView="100" workbookViewId="0">
      <selection activeCell="K16" sqref="K16"/>
    </sheetView>
  </sheetViews>
  <sheetFormatPr defaultColWidth="9.140625" defaultRowHeight="22.5"/>
  <cols>
    <col min="1" max="1" width="37.28515625" customWidth="1"/>
    <col min="2" max="2" width="1" customWidth="1"/>
    <col min="3" max="3" width="17.85546875" customWidth="1"/>
    <col min="4" max="4" width="1.140625" customWidth="1"/>
    <col min="5" max="5" width="13.5703125" customWidth="1"/>
    <col min="6" max="6" width="1.140625" customWidth="1"/>
    <col min="7" max="7" width="13.5703125" bestFit="1" customWidth="1"/>
    <col min="8" max="8" width="1.140625" customWidth="1"/>
    <col min="9" max="9" width="10.5703125" bestFit="1" customWidth="1"/>
    <col min="10" max="10" width="0.85546875" customWidth="1"/>
    <col min="11" max="11" width="28.140625" customWidth="1"/>
    <col min="12" max="12" width="1.85546875" customWidth="1"/>
    <col min="13" max="13" width="86.7109375" customWidth="1"/>
    <col min="14" max="14" width="20.42578125" style="93" bestFit="1" customWidth="1"/>
    <col min="15" max="15" width="22.28515625" style="106" customWidth="1"/>
  </cols>
  <sheetData>
    <row r="1" spans="1:15" s="95" customFormat="1" ht="26.25">
      <c r="A1" s="276" t="s">
        <v>87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93"/>
      <c r="O1" s="94"/>
    </row>
    <row r="2" spans="1:15" s="95" customFormat="1" ht="23.25" customHeight="1">
      <c r="A2" s="276" t="s">
        <v>46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93"/>
      <c r="O2" s="94"/>
    </row>
    <row r="3" spans="1:15" s="95" customFormat="1" ht="24" customHeight="1">
      <c r="A3" s="276" t="str">
        <f>' سهام'!A3:W3</f>
        <v>برای ماه منتهی به 1403/10/30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93"/>
      <c r="O3" s="94"/>
    </row>
    <row r="5" spans="1:15" s="96" customFormat="1">
      <c r="A5" s="277" t="s">
        <v>117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93"/>
      <c r="O5" s="94"/>
    </row>
    <row r="6" spans="1:15" s="96" customFormat="1">
      <c r="A6" s="277" t="s">
        <v>118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93"/>
      <c r="O6" s="94"/>
    </row>
    <row r="7" spans="1:15" s="96" customFormat="1" ht="27" customHeight="1">
      <c r="N7" s="93"/>
      <c r="O7" s="94"/>
    </row>
    <row r="8" spans="1:15" s="96" customFormat="1">
      <c r="C8" s="274" t="str">
        <f>اوراق!Y6</f>
        <v>1403/10/30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93"/>
      <c r="O8" s="94"/>
    </row>
    <row r="9" spans="1:15" s="96" customFormat="1" ht="42">
      <c r="A9" s="97" t="s">
        <v>119</v>
      </c>
      <c r="C9" s="97" t="s">
        <v>120</v>
      </c>
      <c r="E9" s="98" t="s">
        <v>121</v>
      </c>
      <c r="G9" s="97" t="s">
        <v>122</v>
      </c>
      <c r="I9" s="97" t="s">
        <v>123</v>
      </c>
      <c r="K9" s="98" t="s">
        <v>124</v>
      </c>
      <c r="M9" s="97" t="s">
        <v>125</v>
      </c>
      <c r="N9" s="93"/>
      <c r="O9" s="99"/>
    </row>
    <row r="10" spans="1:15" ht="36.75" customHeight="1">
      <c r="A10" s="15"/>
      <c r="B10" s="100"/>
      <c r="C10" s="101"/>
      <c r="D10" s="102"/>
      <c r="E10" s="113"/>
      <c r="F10" s="103"/>
      <c r="G10" s="103"/>
      <c r="H10" s="100"/>
      <c r="I10" s="112"/>
      <c r="J10" s="100"/>
      <c r="K10" s="103">
        <f>IFERROR(VLOOKUP(A10,' سهام'!$A$10:$U$29,21,0),0)</f>
        <v>0</v>
      </c>
      <c r="L10" s="104"/>
      <c r="M10" s="110"/>
      <c r="N10" s="105"/>
    </row>
    <row r="11" spans="1:15" ht="23.25" thickBot="1">
      <c r="A11" s="107"/>
      <c r="B11" s="100"/>
      <c r="C11" s="108"/>
      <c r="D11" s="107"/>
      <c r="E11" s="109"/>
      <c r="F11" s="107"/>
      <c r="G11" s="109"/>
      <c r="H11" s="100"/>
      <c r="I11" s="100"/>
      <c r="J11" s="100"/>
      <c r="K11" s="109">
        <f>SUM(K10)</f>
        <v>0</v>
      </c>
      <c r="L11" s="100"/>
      <c r="M11" s="100"/>
    </row>
    <row r="12" spans="1:15" ht="23.25" thickTop="1"/>
    <row r="13" spans="1:15">
      <c r="C13" s="108"/>
      <c r="K13" s="108"/>
    </row>
    <row r="14" spans="1:15">
      <c r="C14" s="92"/>
    </row>
    <row r="15" spans="1:15">
      <c r="C15" s="108"/>
    </row>
  </sheetData>
  <autoFilter ref="A9:M9" xr:uid="{00000000-0009-0000-0000-000004000000}">
    <sortState xmlns:xlrd2="http://schemas.microsoft.com/office/spreadsheetml/2017/richdata2" ref="A10:P16">
      <sortCondition descending="1" ref="K9"/>
    </sortState>
  </autoFilter>
  <mergeCells count="6">
    <mergeCell ref="C8:M8"/>
    <mergeCell ref="A1:M1"/>
    <mergeCell ref="A2:M2"/>
    <mergeCell ref="A3:M3"/>
    <mergeCell ref="A5:M5"/>
    <mergeCell ref="A6:M6"/>
  </mergeCells>
  <printOptions horizontalCentered="1"/>
  <pageMargins left="0" right="0.28999999999999998" top="0.52" bottom="0" header="0.75" footer="0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19"/>
  <sheetViews>
    <sheetView rightToLeft="1" view="pageBreakPreview" zoomScaleNormal="100" zoomScaleSheetLayoutView="100" workbookViewId="0">
      <selection activeCell="E10" sqref="E10"/>
    </sheetView>
  </sheetViews>
  <sheetFormatPr defaultColWidth="9.140625" defaultRowHeight="15"/>
  <cols>
    <col min="1" max="1" width="39.140625" style="164" bestFit="1" customWidth="1"/>
    <col min="2" max="2" width="0.7109375" style="164" customWidth="1"/>
    <col min="3" max="3" width="21.28515625" style="14" customWidth="1"/>
    <col min="4" max="4" width="0.7109375" style="164" customWidth="1"/>
    <col min="5" max="5" width="22.28515625" style="164" customWidth="1"/>
    <col min="6" max="6" width="0.42578125" style="164" customWidth="1"/>
    <col min="7" max="7" width="22.140625" style="164" customWidth="1"/>
    <col min="8" max="8" width="0.42578125" style="164" customWidth="1"/>
    <col min="9" max="9" width="18.42578125" style="164" customWidth="1"/>
    <col min="10" max="10" width="0.5703125" style="164" customWidth="1"/>
    <col min="11" max="11" width="12.140625" style="164" customWidth="1"/>
    <col min="12" max="12" width="12.85546875" style="164" bestFit="1" customWidth="1"/>
    <col min="13" max="16384" width="9.140625" style="164"/>
  </cols>
  <sheetData>
    <row r="1" spans="1:18" ht="18.75">
      <c r="A1" s="282" t="s">
        <v>87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8" ht="18.75">
      <c r="A2" s="282" t="s">
        <v>46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8" ht="18.75">
      <c r="A3" s="282" t="str">
        <f>' سهام'!A3:W3</f>
        <v>برای ماه منتهی به 1403/10/30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8" ht="18.75">
      <c r="A4" s="285" t="s">
        <v>47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8" ht="18.75" thickBot="1">
      <c r="A5" s="54"/>
      <c r="B5" s="54"/>
      <c r="C5" s="10"/>
      <c r="D5" s="165"/>
      <c r="E5" s="165"/>
      <c r="F5" s="165"/>
      <c r="G5" s="165"/>
      <c r="H5" s="165"/>
      <c r="I5" s="165"/>
      <c r="J5" s="165"/>
      <c r="K5" s="165"/>
    </row>
    <row r="6" spans="1:18" ht="18.75" customHeight="1" thickBot="1">
      <c r="A6" s="166"/>
      <c r="B6" s="54"/>
      <c r="C6" s="136" t="str">
        <f>اوراق!M6</f>
        <v>1403/09/30</v>
      </c>
      <c r="D6" s="167"/>
      <c r="E6" s="281" t="s">
        <v>7</v>
      </c>
      <c r="F6" s="281"/>
      <c r="G6" s="281"/>
      <c r="H6" s="54"/>
      <c r="I6" s="286" t="str">
        <f>اوراق!Y6</f>
        <v>1403/10/30</v>
      </c>
      <c r="J6" s="287"/>
      <c r="K6" s="287"/>
    </row>
    <row r="7" spans="1:18" ht="24" customHeight="1">
      <c r="A7" s="290" t="s">
        <v>8</v>
      </c>
      <c r="B7" s="168"/>
      <c r="C7" s="292" t="s">
        <v>6</v>
      </c>
      <c r="D7" s="168"/>
      <c r="E7" s="279" t="s">
        <v>31</v>
      </c>
      <c r="F7" s="169"/>
      <c r="G7" s="279" t="s">
        <v>32</v>
      </c>
      <c r="H7" s="54"/>
      <c r="I7" s="288" t="s">
        <v>6</v>
      </c>
      <c r="J7" s="290"/>
      <c r="K7" s="283" t="s">
        <v>19</v>
      </c>
    </row>
    <row r="8" spans="1:18" ht="18.75" thickBot="1">
      <c r="A8" s="291"/>
      <c r="B8" s="168"/>
      <c r="C8" s="293"/>
      <c r="D8" s="168"/>
      <c r="E8" s="280"/>
      <c r="F8" s="54"/>
      <c r="G8" s="280"/>
      <c r="H8" s="54"/>
      <c r="I8" s="289"/>
      <c r="J8" s="290"/>
      <c r="K8" s="284"/>
    </row>
    <row r="9" spans="1:18" ht="18">
      <c r="A9" s="243" t="s">
        <v>94</v>
      </c>
      <c r="B9" s="168"/>
      <c r="C9" s="213">
        <v>17535110</v>
      </c>
      <c r="D9" s="168"/>
      <c r="E9" s="241">
        <v>5693919</v>
      </c>
      <c r="F9" s="241"/>
      <c r="G9" s="241">
        <v>14400</v>
      </c>
      <c r="H9" s="241"/>
      <c r="I9" s="241">
        <f>C9+E9-G9</f>
        <v>23214629</v>
      </c>
      <c r="J9" s="212"/>
      <c r="K9" s="12">
        <f>I9/درآمدها!$J$5</f>
        <v>1.6392153182678669E-4</v>
      </c>
      <c r="L9" s="241"/>
      <c r="M9" s="244"/>
    </row>
    <row r="10" spans="1:18" ht="18">
      <c r="A10" s="243" t="s">
        <v>148</v>
      </c>
      <c r="B10" s="168"/>
      <c r="C10" s="213">
        <v>1065758000</v>
      </c>
      <c r="D10" s="168"/>
      <c r="E10" s="241">
        <v>103602833227</v>
      </c>
      <c r="F10" s="241"/>
      <c r="G10" s="241">
        <v>72007002640</v>
      </c>
      <c r="H10" s="241"/>
      <c r="I10" s="241">
        <f t="shared" ref="I10:I13" si="0">C10+E10-G10</f>
        <v>32661588587</v>
      </c>
      <c r="J10" s="212"/>
      <c r="K10" s="12">
        <f>I10/درآمدها!$J$5</f>
        <v>0.2306277491265242</v>
      </c>
      <c r="L10" s="241"/>
      <c r="M10" s="244"/>
    </row>
    <row r="11" spans="1:18" ht="18">
      <c r="A11" s="243" t="s">
        <v>127</v>
      </c>
      <c r="B11" s="168"/>
      <c r="C11" s="213">
        <v>240000000</v>
      </c>
      <c r="D11" s="168"/>
      <c r="E11" s="241">
        <v>0</v>
      </c>
      <c r="F11" s="241"/>
      <c r="G11" s="241">
        <v>0</v>
      </c>
      <c r="H11" s="241"/>
      <c r="I11" s="241">
        <f t="shared" si="0"/>
        <v>240000000</v>
      </c>
      <c r="J11" s="212"/>
      <c r="K11" s="12">
        <f>I11/درآمدها!$J$5</f>
        <v>1.6946713918378278E-3</v>
      </c>
      <c r="L11" s="241"/>
      <c r="M11" s="244"/>
    </row>
    <row r="12" spans="1:18" ht="18">
      <c r="A12" s="243" t="s">
        <v>150</v>
      </c>
      <c r="B12" s="168"/>
      <c r="C12" s="213">
        <v>0</v>
      </c>
      <c r="D12" s="168"/>
      <c r="E12" s="241">
        <v>32004000000</v>
      </c>
      <c r="F12" s="241"/>
      <c r="G12" s="241">
        <v>32002150000</v>
      </c>
      <c r="H12" s="241"/>
      <c r="I12" s="241">
        <f t="shared" si="0"/>
        <v>1850000</v>
      </c>
      <c r="J12" s="212"/>
      <c r="K12" s="12">
        <f>I12/درآمدها!$J$5</f>
        <v>1.3063091978749924E-5</v>
      </c>
      <c r="L12" s="241"/>
      <c r="M12" s="244"/>
    </row>
    <row r="13" spans="1:18" s="54" customFormat="1" ht="18.75" thickBot="1">
      <c r="A13" s="245" t="s">
        <v>151</v>
      </c>
      <c r="C13" s="11">
        <v>0</v>
      </c>
      <c r="D13" s="11"/>
      <c r="E13" s="11">
        <v>32000000000</v>
      </c>
      <c r="F13" s="11"/>
      <c r="G13" s="11">
        <v>0</v>
      </c>
      <c r="H13" s="11"/>
      <c r="I13" s="241">
        <f t="shared" si="0"/>
        <v>32000000000</v>
      </c>
      <c r="K13" s="12">
        <f>I13/درآمدها!$J$5</f>
        <v>0.22595618557837704</v>
      </c>
      <c r="L13" s="11"/>
      <c r="M13" s="244"/>
      <c r="N13" s="171"/>
      <c r="O13" s="53"/>
      <c r="P13" s="171"/>
      <c r="Q13" s="53"/>
      <c r="R13" s="171"/>
    </row>
    <row r="14" spans="1:18" s="54" customFormat="1" ht="24" customHeight="1" thickBot="1">
      <c r="A14" s="168" t="s">
        <v>2</v>
      </c>
      <c r="B14" s="168"/>
      <c r="C14" s="224">
        <f>SUM(C9:C13)</f>
        <v>1323293110</v>
      </c>
      <c r="D14" s="225"/>
      <c r="E14" s="226">
        <f>SUM(E9:E13)</f>
        <v>167612527146</v>
      </c>
      <c r="F14" s="225"/>
      <c r="G14" s="224">
        <f>SUM(G9:G13)</f>
        <v>104009167040</v>
      </c>
      <c r="H14" s="225"/>
      <c r="I14" s="224">
        <f>SUM(I9:I13)</f>
        <v>64926653216</v>
      </c>
      <c r="K14" s="13">
        <f>SUM(K13:K13)</f>
        <v>0.22595618557837704</v>
      </c>
    </row>
    <row r="15" spans="1:18" ht="18.75" thickTop="1">
      <c r="D15" s="54"/>
      <c r="F15" s="54"/>
      <c r="H15" s="54"/>
      <c r="J15" s="54"/>
    </row>
    <row r="16" spans="1:18" ht="18">
      <c r="D16" s="54"/>
      <c r="F16" s="54"/>
      <c r="H16" s="54"/>
      <c r="J16" s="54"/>
    </row>
    <row r="17" spans="3:11" ht="18">
      <c r="C17" s="170"/>
      <c r="D17" s="170"/>
      <c r="E17" s="170"/>
      <c r="F17" s="170"/>
      <c r="G17" s="170"/>
      <c r="H17" s="170"/>
      <c r="I17" s="170"/>
      <c r="J17" s="170"/>
      <c r="K17" s="170"/>
    </row>
    <row r="18" spans="3:11" ht="18">
      <c r="C18" s="241"/>
      <c r="D18" s="168"/>
      <c r="E18" s="241"/>
      <c r="F18" s="241"/>
      <c r="G18" s="241"/>
      <c r="H18" s="241"/>
      <c r="I18" s="241"/>
    </row>
    <row r="19" spans="3:11" ht="18">
      <c r="C19" s="241"/>
      <c r="D19" s="168"/>
      <c r="E19" s="241"/>
      <c r="F19" s="241"/>
      <c r="G19" s="241"/>
      <c r="H19" s="241"/>
      <c r="I19" s="241"/>
    </row>
  </sheetData>
  <autoFilter ref="A8:K8" xr:uid="{00000000-0009-0000-0000-000003000000}">
    <sortState xmlns:xlrd2="http://schemas.microsoft.com/office/spreadsheetml/2017/richdata2" ref="A10:K11">
      <sortCondition descending="1" ref="I8"/>
    </sortState>
  </autoFilter>
  <mergeCells count="13">
    <mergeCell ref="G7:G8"/>
    <mergeCell ref="E6:G6"/>
    <mergeCell ref="A1:K1"/>
    <mergeCell ref="A2:K2"/>
    <mergeCell ref="A3:K3"/>
    <mergeCell ref="K7:K8"/>
    <mergeCell ref="A4:K4"/>
    <mergeCell ref="I6:K6"/>
    <mergeCell ref="I7:I8"/>
    <mergeCell ref="J7:J8"/>
    <mergeCell ref="A7:A8"/>
    <mergeCell ref="C7:C8"/>
    <mergeCell ref="E7:E8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N32"/>
  <sheetViews>
    <sheetView rightToLeft="1" view="pageBreakPreview" zoomScaleNormal="100" zoomScaleSheetLayoutView="100" workbookViewId="0">
      <selection activeCell="E5" sqref="E5:I5"/>
    </sheetView>
  </sheetViews>
  <sheetFormatPr defaultColWidth="9.140625" defaultRowHeight="18"/>
  <cols>
    <col min="1" max="1" width="71" style="87" bestFit="1" customWidth="1"/>
    <col min="2" max="2" width="1" style="87" customWidth="1"/>
    <col min="3" max="3" width="9.140625" style="16"/>
    <col min="4" max="4" width="1.140625" style="16" customWidth="1"/>
    <col min="5" max="5" width="25.42578125" style="16" bestFit="1" customWidth="1"/>
    <col min="6" max="6" width="1" style="16" customWidth="1"/>
    <col min="7" max="7" width="19.7109375" style="16" customWidth="1"/>
    <col min="8" max="8" width="0.42578125" style="16" customWidth="1"/>
    <col min="9" max="9" width="24.5703125" style="16" customWidth="1"/>
    <col min="10" max="10" width="23.42578125" style="88" bestFit="1" customWidth="1"/>
    <col min="11" max="11" width="17.7109375" style="88" bestFit="1" customWidth="1"/>
    <col min="12" max="12" width="14.28515625" style="16" bestFit="1" customWidth="1"/>
    <col min="13" max="13" width="12.5703125" style="16" bestFit="1" customWidth="1"/>
    <col min="14" max="14" width="9.5703125" style="16" bestFit="1" customWidth="1"/>
    <col min="15" max="16384" width="9.140625" style="16"/>
  </cols>
  <sheetData>
    <row r="1" spans="1:14" ht="21">
      <c r="A1" s="295" t="s">
        <v>87</v>
      </c>
      <c r="B1" s="295"/>
      <c r="C1" s="295"/>
      <c r="D1" s="295"/>
      <c r="E1" s="295"/>
      <c r="F1" s="295"/>
      <c r="G1" s="295"/>
      <c r="H1" s="295"/>
      <c r="I1" s="295"/>
      <c r="J1" s="75"/>
      <c r="K1" s="75"/>
    </row>
    <row r="2" spans="1:14" ht="21">
      <c r="A2" s="295" t="s">
        <v>46</v>
      </c>
      <c r="B2" s="295"/>
      <c r="C2" s="295"/>
      <c r="D2" s="295"/>
      <c r="E2" s="295"/>
      <c r="F2" s="295"/>
      <c r="G2" s="295"/>
      <c r="H2" s="295"/>
      <c r="I2" s="295"/>
      <c r="J2" s="75"/>
      <c r="K2" s="75"/>
    </row>
    <row r="3" spans="1:14" ht="21.75" thickBot="1">
      <c r="A3" s="295" t="str">
        <f>سپرده!A3</f>
        <v>برای ماه منتهی به 1403/10/30</v>
      </c>
      <c r="B3" s="295"/>
      <c r="C3" s="295"/>
      <c r="D3" s="295"/>
      <c r="E3" s="295"/>
      <c r="F3" s="295"/>
      <c r="G3" s="295"/>
      <c r="H3" s="295"/>
      <c r="I3" s="295"/>
      <c r="J3" s="75"/>
      <c r="K3" s="75"/>
    </row>
    <row r="4" spans="1:14" ht="21.75" thickBot="1">
      <c r="A4" s="76" t="s">
        <v>24</v>
      </c>
      <c r="B4" s="77"/>
      <c r="C4" s="77"/>
      <c r="D4" s="77"/>
      <c r="E4" s="77"/>
      <c r="F4" s="77"/>
      <c r="G4" s="77"/>
      <c r="H4" s="77"/>
      <c r="I4" s="77"/>
      <c r="J4" s="78">
        <v>21249729736</v>
      </c>
      <c r="K4" s="79" t="s">
        <v>85</v>
      </c>
    </row>
    <row r="5" spans="1:14" ht="21.75" customHeight="1" thickBot="1">
      <c r="A5" s="76"/>
      <c r="B5" s="76"/>
      <c r="C5" s="76"/>
      <c r="D5" s="76"/>
      <c r="E5" s="294" t="str">
        <f>اوراق!Y6</f>
        <v>1403/10/30</v>
      </c>
      <c r="F5" s="294"/>
      <c r="G5" s="294"/>
      <c r="H5" s="294"/>
      <c r="I5" s="294"/>
      <c r="J5" s="78">
        <v>141620376172</v>
      </c>
      <c r="K5" s="79" t="s">
        <v>84</v>
      </c>
    </row>
    <row r="6" spans="1:14" ht="21.75" customHeight="1" thickBot="1">
      <c r="A6" s="80" t="s">
        <v>33</v>
      </c>
      <c r="B6" s="81"/>
      <c r="C6" s="56" t="s">
        <v>34</v>
      </c>
      <c r="D6" s="82"/>
      <c r="E6" s="56" t="s">
        <v>6</v>
      </c>
      <c r="F6" s="82"/>
      <c r="G6" s="56" t="s">
        <v>16</v>
      </c>
      <c r="H6" s="82"/>
      <c r="I6" s="56" t="s">
        <v>83</v>
      </c>
      <c r="J6" s="83"/>
      <c r="K6" s="83"/>
    </row>
    <row r="7" spans="1:14" ht="21" customHeight="1">
      <c r="A7" s="57" t="s">
        <v>95</v>
      </c>
      <c r="B7" s="57"/>
      <c r="C7" s="84" t="s">
        <v>48</v>
      </c>
      <c r="D7" s="77"/>
      <c r="E7" s="129">
        <v>18573837134</v>
      </c>
      <c r="F7" s="90"/>
      <c r="G7" s="130">
        <f>E7/$E$11</f>
        <v>0.91983454688019639</v>
      </c>
      <c r="H7" s="89"/>
      <c r="I7" s="130">
        <f>E7/$J$5</f>
        <v>0.13115229344852047</v>
      </c>
      <c r="J7" s="83"/>
      <c r="K7" s="83"/>
    </row>
    <row r="8" spans="1:14" ht="18.75" customHeight="1">
      <c r="A8" s="57" t="s">
        <v>43</v>
      </c>
      <c r="B8" s="57"/>
      <c r="C8" s="84" t="s">
        <v>49</v>
      </c>
      <c r="D8" s="77"/>
      <c r="E8" s="129">
        <v>1538145928</v>
      </c>
      <c r="F8" s="90"/>
      <c r="G8" s="130">
        <f t="shared" ref="G8:G10" si="0">E8/$E$11</f>
        <v>7.6173800411310277E-2</v>
      </c>
      <c r="H8" s="89"/>
      <c r="I8" s="130">
        <f t="shared" ref="I8:I10" si="1">E8/$J$5</f>
        <v>1.0861049586056031E-2</v>
      </c>
      <c r="J8" s="83"/>
      <c r="K8" s="83"/>
      <c r="L8" s="83"/>
      <c r="N8" s="85"/>
    </row>
    <row r="9" spans="1:14" ht="18.75" customHeight="1">
      <c r="A9" s="57" t="s">
        <v>44</v>
      </c>
      <c r="B9" s="57"/>
      <c r="C9" s="84" t="s">
        <v>50</v>
      </c>
      <c r="D9" s="77"/>
      <c r="E9" s="129">
        <v>22743211</v>
      </c>
      <c r="F9" s="90"/>
      <c r="G9" s="130">
        <f t="shared" si="0"/>
        <v>1.1263149899430845E-3</v>
      </c>
      <c r="H9" s="89"/>
      <c r="I9" s="130">
        <f t="shared" si="1"/>
        <v>1.6059278766763084E-4</v>
      </c>
      <c r="J9" s="83"/>
      <c r="K9" s="83"/>
      <c r="N9" s="85"/>
    </row>
    <row r="10" spans="1:14" ht="19.5" customHeight="1" thickBot="1">
      <c r="A10" s="57" t="s">
        <v>29</v>
      </c>
      <c r="B10" s="57"/>
      <c r="C10" s="84" t="s">
        <v>51</v>
      </c>
      <c r="D10" s="77"/>
      <c r="E10" s="129">
        <v>57858575</v>
      </c>
      <c r="F10" s="90"/>
      <c r="G10" s="130">
        <f t="shared" si="0"/>
        <v>2.8653377185502171E-3</v>
      </c>
      <c r="H10" s="89"/>
      <c r="I10" s="130">
        <f t="shared" si="1"/>
        <v>4.0854696593751398E-4</v>
      </c>
      <c r="J10" s="83"/>
      <c r="K10" s="83"/>
      <c r="N10" s="85"/>
    </row>
    <row r="11" spans="1:14" ht="19.5" customHeight="1" thickBot="1">
      <c r="A11" s="57" t="s">
        <v>2</v>
      </c>
      <c r="B11" s="86"/>
      <c r="C11" s="21"/>
      <c r="D11" s="21"/>
      <c r="E11" s="133">
        <f>SUM(E7:E10)</f>
        <v>20192584848</v>
      </c>
      <c r="F11" s="91"/>
      <c r="G11" s="131">
        <f>SUM(G7:G10)</f>
        <v>1</v>
      </c>
      <c r="H11" s="89"/>
      <c r="I11" s="132">
        <f>SUM(I7:I10)</f>
        <v>0.14258248278818164</v>
      </c>
      <c r="J11" s="83"/>
      <c r="K11" s="83"/>
    </row>
    <row r="12" spans="1:14" ht="18.75" customHeight="1" thickTop="1">
      <c r="J12" s="83"/>
      <c r="K12" s="83"/>
    </row>
    <row r="13" spans="1:14" ht="18" customHeight="1">
      <c r="E13" s="17"/>
      <c r="F13" s="17"/>
      <c r="G13" s="17"/>
      <c r="J13" s="83"/>
      <c r="K13" s="83"/>
    </row>
    <row r="15" spans="1:14">
      <c r="A15" s="87" t="s">
        <v>55</v>
      </c>
    </row>
    <row r="21" ht="18.75" customHeight="1"/>
    <row r="30" ht="18.75" customHeight="1"/>
    <row r="31" ht="17.45" customHeight="1"/>
    <row r="32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  <pageSetUpPr fitToPage="1"/>
  </sheetPr>
  <dimension ref="A1:AA55"/>
  <sheetViews>
    <sheetView rightToLeft="1" view="pageBreakPreview" zoomScale="55" zoomScaleNormal="100" zoomScaleSheetLayoutView="55" workbookViewId="0">
      <selection activeCell="E33" sqref="E33"/>
    </sheetView>
  </sheetViews>
  <sheetFormatPr defaultColWidth="9.140625" defaultRowHeight="15"/>
  <cols>
    <col min="1" max="1" width="63" style="195" bestFit="1" customWidth="1"/>
    <col min="2" max="2" width="1.28515625" style="195" customWidth="1"/>
    <col min="3" max="3" width="29" style="37" bestFit="1" customWidth="1"/>
    <col min="4" max="4" width="1" style="195" customWidth="1"/>
    <col min="5" max="5" width="34" style="38" bestFit="1" customWidth="1"/>
    <col min="6" max="6" width="1.42578125" style="38" customWidth="1"/>
    <col min="7" max="7" width="31.85546875" style="38" bestFit="1" customWidth="1"/>
    <col min="8" max="8" width="1" style="205" customWidth="1"/>
    <col min="9" max="9" width="34" style="205" bestFit="1" customWidth="1"/>
    <col min="10" max="10" width="2" style="205" customWidth="1"/>
    <col min="11" max="11" width="22.42578125" style="206" bestFit="1" customWidth="1"/>
    <col min="12" max="12" width="1.5703125" style="195" customWidth="1"/>
    <col min="13" max="13" width="29" style="37" bestFit="1" customWidth="1"/>
    <col min="14" max="14" width="0.85546875" style="37" customWidth="1"/>
    <col min="15" max="15" width="34" style="38" bestFit="1" customWidth="1"/>
    <col min="16" max="16" width="0.85546875" style="38" customWidth="1"/>
    <col min="17" max="17" width="31.85546875" style="38" bestFit="1" customWidth="1"/>
    <col min="18" max="18" width="0.85546875" style="38" customWidth="1"/>
    <col min="19" max="19" width="34" style="38" bestFit="1" customWidth="1"/>
    <col min="20" max="20" width="1.42578125" style="38" customWidth="1"/>
    <col min="21" max="21" width="22.42578125" style="206" bestFit="1" customWidth="1"/>
    <col min="22" max="22" width="22.140625" style="195" customWidth="1"/>
    <col min="23" max="23" width="54.140625" style="195" bestFit="1" customWidth="1"/>
    <col min="24" max="24" width="21.7109375" style="195" bestFit="1" customWidth="1"/>
    <col min="25" max="25" width="51.85546875" style="195" bestFit="1" customWidth="1"/>
    <col min="26" max="26" width="21.7109375" style="195" bestFit="1" customWidth="1"/>
    <col min="27" max="27" width="18.85546875" style="195" bestFit="1" customWidth="1"/>
    <col min="28" max="16384" width="9.140625" style="195"/>
  </cols>
  <sheetData>
    <row r="1" spans="1:27" ht="27.75">
      <c r="A1" s="296" t="s">
        <v>87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</row>
    <row r="2" spans="1:27" ht="27.75">
      <c r="A2" s="296" t="s">
        <v>52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spans="1:27" ht="27.75">
      <c r="A3" s="296" t="str">
        <f>' سهام'!A3:W3</f>
        <v>برای ماه منتهی به 1403/10/30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5" spans="1:27" s="196" customFormat="1" ht="24.75">
      <c r="A5" s="264" t="s">
        <v>25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</row>
    <row r="6" spans="1:27" s="196" customFormat="1" ht="9.75" customHeight="1">
      <c r="C6" s="31"/>
      <c r="E6" s="33"/>
      <c r="F6" s="33"/>
      <c r="G6" s="33"/>
      <c r="H6" s="197"/>
      <c r="I6" s="197"/>
      <c r="J6" s="197"/>
      <c r="K6" s="66"/>
      <c r="M6" s="31"/>
      <c r="N6" s="31"/>
      <c r="O6" s="33"/>
      <c r="P6" s="33"/>
      <c r="Q6" s="33"/>
      <c r="R6" s="33"/>
      <c r="S6" s="33"/>
      <c r="T6" s="33"/>
      <c r="U6" s="66"/>
    </row>
    <row r="7" spans="1:27" s="196" customFormat="1" ht="27" customHeight="1" thickBot="1">
      <c r="A7" s="198"/>
      <c r="B7" s="199"/>
      <c r="C7" s="296" t="s">
        <v>145</v>
      </c>
      <c r="D7" s="296"/>
      <c r="E7" s="296"/>
      <c r="F7" s="296"/>
      <c r="G7" s="296"/>
      <c r="H7" s="296"/>
      <c r="I7" s="296"/>
      <c r="J7" s="296"/>
      <c r="K7" s="296"/>
      <c r="L7" s="199"/>
      <c r="M7" s="296" t="s">
        <v>146</v>
      </c>
      <c r="N7" s="296"/>
      <c r="O7" s="296"/>
      <c r="P7" s="296"/>
      <c r="Q7" s="296"/>
      <c r="R7" s="296"/>
      <c r="S7" s="296"/>
      <c r="T7" s="296"/>
      <c r="U7" s="296"/>
    </row>
    <row r="8" spans="1:27" s="63" customFormat="1" ht="24.75" customHeight="1">
      <c r="A8" s="311" t="s">
        <v>21</v>
      </c>
      <c r="B8" s="311"/>
      <c r="C8" s="297" t="s">
        <v>9</v>
      </c>
      <c r="D8" s="313"/>
      <c r="E8" s="299" t="s">
        <v>10</v>
      </c>
      <c r="F8" s="306"/>
      <c r="G8" s="299" t="s">
        <v>11</v>
      </c>
      <c r="H8" s="309"/>
      <c r="I8" s="301" t="s">
        <v>2</v>
      </c>
      <c r="J8" s="301"/>
      <c r="K8" s="301"/>
      <c r="L8" s="311"/>
      <c r="M8" s="297" t="s">
        <v>9</v>
      </c>
      <c r="N8" s="303"/>
      <c r="O8" s="299" t="s">
        <v>10</v>
      </c>
      <c r="P8" s="306"/>
      <c r="Q8" s="299" t="s">
        <v>11</v>
      </c>
      <c r="R8" s="306"/>
      <c r="S8" s="301" t="s">
        <v>2</v>
      </c>
      <c r="T8" s="301"/>
      <c r="U8" s="301"/>
    </row>
    <row r="9" spans="1:27" s="63" customFormat="1" ht="6" customHeight="1" thickBot="1">
      <c r="A9" s="311"/>
      <c r="B9" s="311"/>
      <c r="C9" s="298"/>
      <c r="D9" s="311"/>
      <c r="E9" s="300"/>
      <c r="F9" s="307"/>
      <c r="G9" s="300"/>
      <c r="H9" s="310"/>
      <c r="I9" s="302"/>
      <c r="J9" s="302"/>
      <c r="K9" s="302"/>
      <c r="L9" s="311"/>
      <c r="M9" s="298"/>
      <c r="N9" s="304"/>
      <c r="O9" s="300"/>
      <c r="P9" s="307"/>
      <c r="Q9" s="300"/>
      <c r="R9" s="307"/>
      <c r="S9" s="302"/>
      <c r="T9" s="302"/>
      <c r="U9" s="302"/>
    </row>
    <row r="10" spans="1:27" s="63" customFormat="1" ht="42.75" customHeight="1" thickBot="1">
      <c r="A10" s="312"/>
      <c r="B10" s="311"/>
      <c r="C10" s="34" t="s">
        <v>56</v>
      </c>
      <c r="D10" s="311"/>
      <c r="E10" s="35" t="s">
        <v>57</v>
      </c>
      <c r="F10" s="308"/>
      <c r="G10" s="35" t="s">
        <v>58</v>
      </c>
      <c r="H10" s="310"/>
      <c r="I10" s="200" t="s">
        <v>6</v>
      </c>
      <c r="J10" s="200"/>
      <c r="K10" s="201" t="s">
        <v>16</v>
      </c>
      <c r="L10" s="311"/>
      <c r="M10" s="34" t="s">
        <v>56</v>
      </c>
      <c r="N10" s="305"/>
      <c r="O10" s="35" t="s">
        <v>57</v>
      </c>
      <c r="P10" s="308"/>
      <c r="Q10" s="35" t="s">
        <v>58</v>
      </c>
      <c r="R10" s="308"/>
      <c r="S10" s="36" t="s">
        <v>6</v>
      </c>
      <c r="T10" s="36"/>
      <c r="U10" s="201" t="s">
        <v>16</v>
      </c>
    </row>
    <row r="11" spans="1:27" s="137" customFormat="1" ht="30.75">
      <c r="A11" s="202" t="s">
        <v>126</v>
      </c>
      <c r="C11" s="4">
        <f>IFERROR(VLOOKUP(A11,'درآمد سود سهام'!$A$8:$S$86,13,0),0)</f>
        <v>0</v>
      </c>
      <c r="D11" s="4"/>
      <c r="E11" s="4">
        <f>IFERROR(VLOOKUP(A11,'درآمد ناشی از تغییر قیمت  '!$A$7:$Q$88,9,0),0)</f>
        <v>-1195245717</v>
      </c>
      <c r="F11" s="4"/>
      <c r="G11" s="4">
        <f>IFERROR(VLOOKUP(A11,'درآمد ناشی ازفروش'!$A$7:$I$87,9,0),0)</f>
        <v>1356307687</v>
      </c>
      <c r="H11" s="4"/>
      <c r="I11" s="4">
        <f>G11+E11+C11</f>
        <v>161061970</v>
      </c>
      <c r="J11" s="227"/>
      <c r="K11" s="121">
        <f>I11/6083918295</f>
        <v>2.6473394643114614E-2</v>
      </c>
      <c r="L11" s="227"/>
      <c r="M11" s="4">
        <f>IFERROR(VLOOKUP(A11,'درآمد سود سهام'!$A$8:$S$86,19,0),0)</f>
        <v>0</v>
      </c>
      <c r="N11" s="4"/>
      <c r="O11" s="4">
        <f>IFERROR(VLOOKUP(A11,'درآمد ناشی از تغییر قیمت  '!$A$7:$Q$88,17,0),0)</f>
        <v>0</v>
      </c>
      <c r="P11" s="4"/>
      <c r="Q11" s="4">
        <f>IFERROR(VLOOKUP(A11,'درآمد ناشی ازفروش'!$A$7:$Q$87,17,0),0)</f>
        <v>1394126082</v>
      </c>
      <c r="R11" s="4"/>
      <c r="S11" s="4">
        <f>Q11+O11+M11</f>
        <v>1394126082</v>
      </c>
      <c r="T11" s="143"/>
      <c r="U11" s="121">
        <f>S11/درآمدها!$J$4</f>
        <v>6.5606767677527517E-2</v>
      </c>
      <c r="V11" s="144"/>
      <c r="W11" s="144"/>
      <c r="X11" s="144"/>
      <c r="Y11" s="144"/>
      <c r="Z11" s="144"/>
      <c r="AA11" s="144"/>
    </row>
    <row r="12" spans="1:27" s="137" customFormat="1" ht="30.75">
      <c r="A12" s="202" t="s">
        <v>132</v>
      </c>
      <c r="C12" s="4">
        <f>IFERROR(VLOOKUP(A12,'درآمد سود سهام'!$A$8:$S$86,13,0),0)</f>
        <v>0</v>
      </c>
      <c r="D12" s="4"/>
      <c r="E12" s="4">
        <f>IFERROR(VLOOKUP(A12,'درآمد ناشی از تغییر قیمت  '!$A$7:$Q$88,9,0),0)</f>
        <v>0</v>
      </c>
      <c r="F12" s="4"/>
      <c r="G12" s="4">
        <f>IFERROR(VLOOKUP(A12,'درآمد ناشی ازفروش'!$A$7:$I$87,9,0),0)</f>
        <v>0</v>
      </c>
      <c r="H12" s="4"/>
      <c r="I12" s="4">
        <f t="shared" ref="I12:I38" si="0">G12+E12+C12</f>
        <v>0</v>
      </c>
      <c r="J12" s="227"/>
      <c r="K12" s="121">
        <f t="shared" ref="K12:K38" si="1">I12/6083918295</f>
        <v>0</v>
      </c>
      <c r="L12" s="227"/>
      <c r="M12" s="4">
        <f>IFERROR(VLOOKUP(A12,'درآمد سود سهام'!$A$8:$S$86,19,0),0)</f>
        <v>0</v>
      </c>
      <c r="N12" s="4"/>
      <c r="O12" s="4">
        <f>IFERROR(VLOOKUP(A12,'درآمد ناشی از تغییر قیمت  '!$A$7:$Q$88,17,0),0)</f>
        <v>0</v>
      </c>
      <c r="P12" s="4"/>
      <c r="Q12" s="4">
        <f>IFERROR(VLOOKUP(A12,'درآمد ناشی ازفروش'!$A$7:$Q$87,17,0),0)</f>
        <v>389108852</v>
      </c>
      <c r="R12" s="4"/>
      <c r="S12" s="4">
        <f t="shared" ref="S12:S38" si="2">Q12+O12+M12</f>
        <v>389108852</v>
      </c>
      <c r="T12" s="143"/>
      <c r="U12" s="121">
        <f>S12/درآمدها!$J$4</f>
        <v>1.8311237687921998E-2</v>
      </c>
      <c r="V12" s="144"/>
      <c r="W12" s="144"/>
      <c r="X12" s="144"/>
      <c r="Y12" s="144"/>
      <c r="Z12" s="144"/>
      <c r="AA12" s="144"/>
    </row>
    <row r="13" spans="1:27" s="137" customFormat="1" ht="30.75">
      <c r="A13" s="202" t="s">
        <v>139</v>
      </c>
      <c r="C13" s="4">
        <f>IFERROR(VLOOKUP(A13,'درآمد سود سهام'!$A$8:$S$86,13,0),0)</f>
        <v>0</v>
      </c>
      <c r="D13" s="4"/>
      <c r="E13" s="4">
        <f>IFERROR(VLOOKUP(A13,'درآمد ناشی از تغییر قیمت  '!$A$7:$Q$88,9,0),0)</f>
        <v>47194571</v>
      </c>
      <c r="F13" s="4"/>
      <c r="G13" s="4">
        <f>IFERROR(VLOOKUP(A13,'درآمد ناشی ازفروش'!$A$7:$I$87,9,0),0)</f>
        <v>-138971613</v>
      </c>
      <c r="H13" s="4"/>
      <c r="I13" s="4">
        <f t="shared" si="0"/>
        <v>-91777042</v>
      </c>
      <c r="J13" s="227"/>
      <c r="K13" s="121">
        <f t="shared" si="1"/>
        <v>-1.5085186478494612E-2</v>
      </c>
      <c r="L13" s="227"/>
      <c r="M13" s="4">
        <f>IFERROR(VLOOKUP(A13,'درآمد سود سهام'!$A$8:$S$86,19,0),0)</f>
        <v>313968043</v>
      </c>
      <c r="N13" s="4"/>
      <c r="O13" s="4">
        <f>IFERROR(VLOOKUP(A13,'درآمد ناشی از تغییر قیمت  '!$A$7:$Q$88,17,0),0)</f>
        <v>0</v>
      </c>
      <c r="P13" s="4"/>
      <c r="Q13" s="4">
        <f>IFERROR(VLOOKUP(A13,'درآمد ناشی ازفروش'!$A$7:$Q$87,17,0),0)</f>
        <v>-138971613</v>
      </c>
      <c r="R13" s="4"/>
      <c r="S13" s="4">
        <f t="shared" si="2"/>
        <v>174996430</v>
      </c>
      <c r="T13" s="143"/>
      <c r="U13" s="121">
        <f>S13/درآمدها!$J$4</f>
        <v>8.2352308558320958E-3</v>
      </c>
      <c r="V13" s="144"/>
      <c r="W13" s="144"/>
      <c r="X13" s="144"/>
      <c r="Y13" s="144"/>
      <c r="Z13" s="144"/>
      <c r="AA13" s="144"/>
    </row>
    <row r="14" spans="1:27" s="137" customFormat="1" ht="30.75">
      <c r="A14" s="202" t="s">
        <v>110</v>
      </c>
      <c r="C14" s="4">
        <f>IFERROR(VLOOKUP(A14,'درآمد سود سهام'!$A$8:$S$86,13,0),0)</f>
        <v>0</v>
      </c>
      <c r="D14" s="4"/>
      <c r="E14" s="4">
        <f>IFERROR(VLOOKUP(A14,'درآمد ناشی از تغییر قیمت  '!$A$7:$Q$88,9,0),0)</f>
        <v>0</v>
      </c>
      <c r="F14" s="4"/>
      <c r="G14" s="4">
        <f>IFERROR(VLOOKUP(A14,'درآمد ناشی ازفروش'!$A$7:$I$87,9,0),0)</f>
        <v>0</v>
      </c>
      <c r="H14" s="4"/>
      <c r="I14" s="4">
        <f t="shared" si="0"/>
        <v>0</v>
      </c>
      <c r="J14" s="227"/>
      <c r="K14" s="121">
        <f t="shared" si="1"/>
        <v>0</v>
      </c>
      <c r="L14" s="227"/>
      <c r="M14" s="4">
        <f>IFERROR(VLOOKUP(A14,'درآمد سود سهام'!$A$8:$S$86,19,0),0)</f>
        <v>0</v>
      </c>
      <c r="N14" s="4"/>
      <c r="O14" s="4">
        <f>IFERROR(VLOOKUP(A14,'درآمد ناشی از تغییر قیمت  '!$A$7:$Q$88,17,0),0)</f>
        <v>0</v>
      </c>
      <c r="P14" s="4"/>
      <c r="Q14" s="4">
        <f>IFERROR(VLOOKUP(A14,'درآمد ناشی ازفروش'!$A$7:$Q$87,17,0),0)</f>
        <v>12969451</v>
      </c>
      <c r="R14" s="4"/>
      <c r="S14" s="4">
        <f t="shared" si="2"/>
        <v>12969451</v>
      </c>
      <c r="T14" s="143"/>
      <c r="U14" s="121">
        <f>S14/درآمدها!$J$4</f>
        <v>6.103348683078987E-4</v>
      </c>
      <c r="V14" s="144"/>
      <c r="W14" s="144"/>
      <c r="X14" s="144"/>
      <c r="Y14" s="144"/>
      <c r="Z14" s="144"/>
      <c r="AA14" s="144"/>
    </row>
    <row r="15" spans="1:27" s="137" customFormat="1" ht="30.75">
      <c r="A15" s="202" t="s">
        <v>96</v>
      </c>
      <c r="C15" s="4">
        <f>IFERROR(VLOOKUP(A15,'درآمد سود سهام'!$A$8:$S$86,13,0),0)</f>
        <v>0</v>
      </c>
      <c r="D15" s="4"/>
      <c r="E15" s="4">
        <f>IFERROR(VLOOKUP(A15,'درآمد ناشی از تغییر قیمت  '!$A$7:$Q$88,9,0),0)</f>
        <v>0</v>
      </c>
      <c r="F15" s="4"/>
      <c r="G15" s="4">
        <f>IFERROR(VLOOKUP(A15,'درآمد ناشی ازفروش'!$A$7:$I$87,9,0),0)</f>
        <v>0</v>
      </c>
      <c r="H15" s="4"/>
      <c r="I15" s="4">
        <f t="shared" si="0"/>
        <v>0</v>
      </c>
      <c r="J15" s="227"/>
      <c r="K15" s="121">
        <f t="shared" si="1"/>
        <v>0</v>
      </c>
      <c r="L15" s="227"/>
      <c r="M15" s="4">
        <f>IFERROR(VLOOKUP(A15,'درآمد سود سهام'!$A$8:$S$86,19,0),0)</f>
        <v>0</v>
      </c>
      <c r="N15" s="4"/>
      <c r="O15" s="4">
        <f>IFERROR(VLOOKUP(A15,'درآمد ناشی از تغییر قیمت  '!$A$7:$Q$88,17,0),0)</f>
        <v>0</v>
      </c>
      <c r="P15" s="4"/>
      <c r="Q15" s="4">
        <f>IFERROR(VLOOKUP(A15,'درآمد ناشی ازفروش'!$A$7:$Q$87,17,0),0)</f>
        <v>3058018</v>
      </c>
      <c r="R15" s="4"/>
      <c r="S15" s="4">
        <f t="shared" si="2"/>
        <v>3058018</v>
      </c>
      <c r="T15" s="143"/>
      <c r="U15" s="121">
        <f>S15/درآمدها!$J$4</f>
        <v>1.4390855968484588E-4</v>
      </c>
      <c r="V15" s="144"/>
      <c r="W15" s="144"/>
      <c r="X15" s="144"/>
      <c r="Y15" s="144"/>
      <c r="Z15" s="144"/>
      <c r="AA15" s="144"/>
    </row>
    <row r="16" spans="1:27" s="137" customFormat="1" ht="30.75">
      <c r="A16" s="202" t="s">
        <v>134</v>
      </c>
      <c r="C16" s="4">
        <f>IFERROR(VLOOKUP(A16,'درآمد سود سهام'!$A$8:$S$86,13,0),0)</f>
        <v>0</v>
      </c>
      <c r="D16" s="4"/>
      <c r="E16" s="4">
        <f>IFERROR(VLOOKUP(A16,'درآمد ناشی از تغییر قیمت  '!$A$7:$Q$88,9,0),0)</f>
        <v>0</v>
      </c>
      <c r="F16" s="4"/>
      <c r="G16" s="4">
        <f>IFERROR(VLOOKUP(A16,'درآمد ناشی ازفروش'!$A$7:$I$87,9,0),0)</f>
        <v>0</v>
      </c>
      <c r="H16" s="4"/>
      <c r="I16" s="4">
        <f t="shared" si="0"/>
        <v>0</v>
      </c>
      <c r="J16" s="227"/>
      <c r="K16" s="121">
        <f t="shared" si="1"/>
        <v>0</v>
      </c>
      <c r="L16" s="227"/>
      <c r="M16" s="4">
        <f>IFERROR(VLOOKUP(A16,'درآمد سود سهام'!$A$8:$S$86,19,0),0)</f>
        <v>0</v>
      </c>
      <c r="N16" s="4"/>
      <c r="O16" s="4">
        <f>IFERROR(VLOOKUP(A16,'درآمد ناشی از تغییر قیمت  '!$A$7:$Q$88,17,0),0)</f>
        <v>0</v>
      </c>
      <c r="P16" s="4"/>
      <c r="Q16" s="4">
        <f>IFERROR(VLOOKUP(A16,'درآمد ناشی ازفروش'!$A$7:$Q$87,17,0),0)</f>
        <v>117025331</v>
      </c>
      <c r="R16" s="4"/>
      <c r="S16" s="4">
        <f t="shared" si="2"/>
        <v>117025331</v>
      </c>
      <c r="T16" s="143"/>
      <c r="U16" s="121">
        <f>S16/درآمدها!$J$4</f>
        <v>5.5071444415475462E-3</v>
      </c>
      <c r="V16" s="144"/>
      <c r="W16" s="144"/>
      <c r="X16" s="144"/>
      <c r="Y16" s="144"/>
      <c r="Z16" s="144"/>
      <c r="AA16" s="144"/>
    </row>
    <row r="17" spans="1:27" s="137" customFormat="1" ht="30.75">
      <c r="A17" s="202" t="s">
        <v>131</v>
      </c>
      <c r="C17" s="4">
        <f>IFERROR(VLOOKUP(A17,'درآمد سود سهام'!$A$8:$S$86,13,0),0)</f>
        <v>0</v>
      </c>
      <c r="D17" s="4"/>
      <c r="E17" s="4">
        <f>IFERROR(VLOOKUP(A17,'درآمد ناشی از تغییر قیمت  '!$A$7:$Q$88,9,0),0)</f>
        <v>0</v>
      </c>
      <c r="F17" s="4"/>
      <c r="G17" s="4">
        <f>IFERROR(VLOOKUP(A17,'درآمد ناشی ازفروش'!$A$7:$I$87,9,0),0)</f>
        <v>0</v>
      </c>
      <c r="H17" s="4"/>
      <c r="I17" s="4">
        <f t="shared" si="0"/>
        <v>0</v>
      </c>
      <c r="J17" s="227"/>
      <c r="K17" s="121">
        <f t="shared" si="1"/>
        <v>0</v>
      </c>
      <c r="L17" s="227"/>
      <c r="M17" s="4">
        <f>IFERROR(VLOOKUP(A17,'درآمد سود سهام'!$A$8:$S$86,19,0),0)</f>
        <v>0</v>
      </c>
      <c r="N17" s="4"/>
      <c r="O17" s="4">
        <f>IFERROR(VLOOKUP(A17,'درآمد ناشی از تغییر قیمت  '!$A$7:$Q$88,17,0),0)</f>
        <v>0</v>
      </c>
      <c r="P17" s="4"/>
      <c r="Q17" s="4">
        <f>IFERROR(VLOOKUP(A17,'درآمد ناشی ازفروش'!$A$7:$Q$87,17,0),0)</f>
        <v>115797849</v>
      </c>
      <c r="R17" s="4"/>
      <c r="S17" s="4">
        <f t="shared" si="2"/>
        <v>115797849</v>
      </c>
      <c r="T17" s="143"/>
      <c r="U17" s="121">
        <f>S17/درآمدها!$J$4</f>
        <v>5.4493798480562475E-3</v>
      </c>
      <c r="V17" s="144"/>
      <c r="W17" s="144"/>
      <c r="X17" s="144"/>
      <c r="Y17" s="144"/>
      <c r="Z17" s="144"/>
      <c r="AA17" s="144"/>
    </row>
    <row r="18" spans="1:27" s="137" customFormat="1" ht="30.75">
      <c r="A18" s="202" t="s">
        <v>130</v>
      </c>
      <c r="C18" s="4">
        <f>IFERROR(VLOOKUP(A18,'درآمد سود سهام'!$A$8:$S$86,13,0),0)</f>
        <v>0</v>
      </c>
      <c r="D18" s="4"/>
      <c r="E18" s="4">
        <f>IFERROR(VLOOKUP(A18,'درآمد ناشی از تغییر قیمت  '!$A$7:$Q$88,9,0),0)</f>
        <v>0</v>
      </c>
      <c r="F18" s="4"/>
      <c r="G18" s="4">
        <f>IFERROR(VLOOKUP(A18,'درآمد ناشی ازفروش'!$A$7:$I$87,9,0),0)</f>
        <v>0</v>
      </c>
      <c r="H18" s="4"/>
      <c r="I18" s="4">
        <f t="shared" si="0"/>
        <v>0</v>
      </c>
      <c r="J18" s="227"/>
      <c r="K18" s="121">
        <f t="shared" si="1"/>
        <v>0</v>
      </c>
      <c r="L18" s="227"/>
      <c r="M18" s="4">
        <f>IFERROR(VLOOKUP(A18,'درآمد سود سهام'!$A$8:$S$86,19,0),0)</f>
        <v>0</v>
      </c>
      <c r="N18" s="4"/>
      <c r="O18" s="4">
        <f>IFERROR(VLOOKUP(A18,'درآمد ناشی از تغییر قیمت  '!$A$7:$Q$88,17,0),0)</f>
        <v>0</v>
      </c>
      <c r="P18" s="4"/>
      <c r="Q18" s="4">
        <f>IFERROR(VLOOKUP(A18,'درآمد ناشی ازفروش'!$A$7:$Q$87,17,0),0)</f>
        <v>11194211</v>
      </c>
      <c r="R18" s="4"/>
      <c r="S18" s="4">
        <f t="shared" si="2"/>
        <v>11194211</v>
      </c>
      <c r="T18" s="143"/>
      <c r="U18" s="121">
        <f>S18/درآمدها!$J$4</f>
        <v>5.267930999157815E-4</v>
      </c>
      <c r="V18" s="144"/>
      <c r="W18" s="144"/>
      <c r="X18" s="144"/>
      <c r="Y18" s="144"/>
      <c r="Z18" s="144"/>
      <c r="AA18" s="144"/>
    </row>
    <row r="19" spans="1:27" s="137" customFormat="1" ht="30.75">
      <c r="A19" s="202" t="s">
        <v>99</v>
      </c>
      <c r="C19" s="4">
        <f>IFERROR(VLOOKUP(A19,'درآمد سود سهام'!$A$8:$S$86,13,0),0)</f>
        <v>0</v>
      </c>
      <c r="D19" s="4"/>
      <c r="E19" s="4">
        <f>IFERROR(VLOOKUP(A19,'درآمد ناشی از تغییر قیمت  '!$A$7:$Q$88,9,0),0)</f>
        <v>211026874</v>
      </c>
      <c r="F19" s="4"/>
      <c r="G19" s="4">
        <f>IFERROR(VLOOKUP(A19,'درآمد ناشی ازفروش'!$A$7:$I$87,9,0),0)</f>
        <v>0</v>
      </c>
      <c r="H19" s="4"/>
      <c r="I19" s="4">
        <f t="shared" si="0"/>
        <v>211026874</v>
      </c>
      <c r="J19" s="227"/>
      <c r="K19" s="121">
        <f t="shared" si="1"/>
        <v>3.4686013810118071E-2</v>
      </c>
      <c r="L19" s="227"/>
      <c r="M19" s="4">
        <f>IFERROR(VLOOKUP(A19,'درآمد سود سهام'!$A$8:$S$86,19,0),0)</f>
        <v>0</v>
      </c>
      <c r="N19" s="4"/>
      <c r="O19" s="4">
        <f>IFERROR(VLOOKUP(A19,'درآمد ناشی از تغییر قیمت  '!$A$7:$Q$88,17,0),0)</f>
        <v>395075230</v>
      </c>
      <c r="P19" s="4"/>
      <c r="Q19" s="4">
        <f>IFERROR(VLOOKUP(A19,'درآمد ناشی ازفروش'!$A$7:$Q$87,17,0),0)</f>
        <v>5385768</v>
      </c>
      <c r="R19" s="4"/>
      <c r="S19" s="4">
        <f t="shared" si="2"/>
        <v>400460998</v>
      </c>
      <c r="T19" s="143"/>
      <c r="U19" s="121">
        <f>S19/درآمدها!$J$4</f>
        <v>1.8845463117658542E-2</v>
      </c>
      <c r="V19" s="144"/>
      <c r="W19" s="144"/>
      <c r="X19" s="144"/>
      <c r="Y19" s="144"/>
      <c r="Z19" s="144"/>
      <c r="AA19" s="144"/>
    </row>
    <row r="20" spans="1:27" s="137" customFormat="1" ht="30.75">
      <c r="A20" s="202" t="s">
        <v>90</v>
      </c>
      <c r="C20" s="4">
        <f>IFERROR(VLOOKUP(A20,'درآمد سود سهام'!$A$8:$S$86,13,0),0)</f>
        <v>0</v>
      </c>
      <c r="D20" s="4"/>
      <c r="E20" s="4">
        <f>IFERROR(VLOOKUP(A20,'درآمد ناشی از تغییر قیمت  '!$A$7:$Q$88,9,0),0)</f>
        <v>-1142540959</v>
      </c>
      <c r="F20" s="4"/>
      <c r="G20" s="4">
        <f>IFERROR(VLOOKUP(A20,'درآمد ناشی ازفروش'!$A$7:$I$87,9,0),0)</f>
        <v>1643542173</v>
      </c>
      <c r="H20" s="4"/>
      <c r="I20" s="4">
        <f t="shared" si="0"/>
        <v>501001214</v>
      </c>
      <c r="J20" s="227"/>
      <c r="K20" s="121">
        <f t="shared" si="1"/>
        <v>8.2348445476616974E-2</v>
      </c>
      <c r="L20" s="227"/>
      <c r="M20" s="4">
        <f>IFERROR(VLOOKUP(A20,'درآمد سود سهام'!$A$8:$S$86,19,0),0)</f>
        <v>0</v>
      </c>
      <c r="N20" s="4"/>
      <c r="O20" s="4">
        <f>IFERROR(VLOOKUP(A20,'درآمد ناشی از تغییر قیمت  '!$A$7:$Q$88,17,0),0)</f>
        <v>0</v>
      </c>
      <c r="P20" s="4"/>
      <c r="Q20" s="4">
        <f>IFERROR(VLOOKUP(A20,'درآمد ناشی ازفروش'!$A$7:$Q$87,17,0),0)</f>
        <v>1643542173</v>
      </c>
      <c r="R20" s="4"/>
      <c r="S20" s="4">
        <f t="shared" si="2"/>
        <v>1643542173</v>
      </c>
      <c r="T20" s="143"/>
      <c r="U20" s="121">
        <f>S20/درآمدها!$J$4</f>
        <v>7.7344144768844325E-2</v>
      </c>
      <c r="V20" s="144"/>
      <c r="W20" s="144"/>
      <c r="X20" s="144"/>
      <c r="Y20" s="144"/>
      <c r="Z20" s="144"/>
      <c r="AA20" s="144"/>
    </row>
    <row r="21" spans="1:27" s="137" customFormat="1" ht="30.75">
      <c r="A21" s="202" t="s">
        <v>91</v>
      </c>
      <c r="C21" s="4">
        <f>IFERROR(VLOOKUP(A21,'درآمد سود سهام'!$A$8:$S$86,13,0),0)</f>
        <v>0</v>
      </c>
      <c r="D21" s="4"/>
      <c r="E21" s="4">
        <f>IFERROR(VLOOKUP(A21,'درآمد ناشی از تغییر قیمت  '!$A$7:$Q$88,9,0),0)</f>
        <v>0</v>
      </c>
      <c r="F21" s="4"/>
      <c r="G21" s="4">
        <f>IFERROR(VLOOKUP(A21,'درآمد ناشی ازفروش'!$A$7:$I$87,9,0),0)</f>
        <v>0</v>
      </c>
      <c r="H21" s="4"/>
      <c r="I21" s="4">
        <f t="shared" si="0"/>
        <v>0</v>
      </c>
      <c r="J21" s="227"/>
      <c r="K21" s="121">
        <f t="shared" si="1"/>
        <v>0</v>
      </c>
      <c r="L21" s="227"/>
      <c r="M21" s="4">
        <f>IFERROR(VLOOKUP(A21,'درآمد سود سهام'!$A$8:$S$86,19,0),0)</f>
        <v>0</v>
      </c>
      <c r="N21" s="4"/>
      <c r="O21" s="4">
        <f>IFERROR(VLOOKUP(A21,'درآمد ناشی از تغییر قیمت  '!$A$7:$Q$88,17,0),0)</f>
        <v>932848329</v>
      </c>
      <c r="P21" s="4"/>
      <c r="Q21" s="4">
        <f>IFERROR(VLOOKUP(A21,'درآمد ناشی ازفروش'!$A$7:$Q$87,17,0),0)</f>
        <v>0</v>
      </c>
      <c r="R21" s="4"/>
      <c r="S21" s="4">
        <f t="shared" si="2"/>
        <v>932848329</v>
      </c>
      <c r="T21" s="143"/>
      <c r="U21" s="121">
        <f>S21/درآمدها!$J$4</f>
        <v>4.3899303218884009E-2</v>
      </c>
      <c r="V21" s="144"/>
      <c r="W21" s="144"/>
      <c r="X21" s="144"/>
      <c r="Y21" s="144"/>
      <c r="Z21" s="144"/>
      <c r="AA21" s="144"/>
    </row>
    <row r="22" spans="1:27" s="137" customFormat="1" ht="30.75">
      <c r="A22" s="202" t="s">
        <v>97</v>
      </c>
      <c r="C22" s="4">
        <f>IFERROR(VLOOKUP(A22,'درآمد سود سهام'!$A$8:$S$86,13,0),0)</f>
        <v>0</v>
      </c>
      <c r="D22" s="4"/>
      <c r="E22" s="4">
        <f>IFERROR(VLOOKUP(A22,'درآمد ناشی از تغییر قیمت  '!$A$7:$Q$88,9,0),0)</f>
        <v>189217418</v>
      </c>
      <c r="F22" s="4"/>
      <c r="G22" s="4">
        <f>IFERROR(VLOOKUP(A22,'درآمد ناشی ازفروش'!$A$7:$I$87,9,0),0)</f>
        <v>0</v>
      </c>
      <c r="H22" s="4"/>
      <c r="I22" s="4">
        <f t="shared" si="0"/>
        <v>189217418</v>
      </c>
      <c r="J22" s="227"/>
      <c r="K22" s="121">
        <f t="shared" si="1"/>
        <v>3.110124246006167E-2</v>
      </c>
      <c r="L22" s="227"/>
      <c r="M22" s="4">
        <f>IFERROR(VLOOKUP(A22,'درآمد سود سهام'!$A$8:$S$86,19,0),0)</f>
        <v>0</v>
      </c>
      <c r="N22" s="4"/>
      <c r="O22" s="4">
        <f>IFERROR(VLOOKUP(A22,'درآمد ناشی از تغییر قیمت  '!$A$7:$Q$88,17,0),0)</f>
        <v>462442001</v>
      </c>
      <c r="P22" s="4"/>
      <c r="Q22" s="4">
        <f>IFERROR(VLOOKUP(A22,'درآمد ناشی ازفروش'!$A$7:$Q$87,17,0),0)</f>
        <v>9379261</v>
      </c>
      <c r="R22" s="4"/>
      <c r="S22" s="4">
        <f t="shared" si="2"/>
        <v>471821262</v>
      </c>
      <c r="T22" s="143"/>
      <c r="U22" s="121">
        <f>S22/درآمدها!$J$4</f>
        <v>2.2203635898515411E-2</v>
      </c>
      <c r="V22" s="144"/>
      <c r="W22" s="144"/>
      <c r="X22" s="144"/>
      <c r="Y22" s="144"/>
      <c r="Z22" s="144"/>
      <c r="AA22" s="144"/>
    </row>
    <row r="23" spans="1:27" s="137" customFormat="1" ht="30.75">
      <c r="A23" s="202" t="s">
        <v>92</v>
      </c>
      <c r="C23" s="4">
        <f>IFERROR(VLOOKUP(A23,'درآمد سود سهام'!$A$8:$S$86,13,0),0)</f>
        <v>0</v>
      </c>
      <c r="D23" s="4"/>
      <c r="E23" s="4">
        <f>IFERROR(VLOOKUP(A23,'درآمد ناشی از تغییر قیمت  '!$A$7:$Q$88,9,0),0)</f>
        <v>-287640771</v>
      </c>
      <c r="F23" s="4"/>
      <c r="G23" s="4">
        <f>IFERROR(VLOOKUP(A23,'درآمد ناشی ازفروش'!$A$7:$I$87,9,0),0)</f>
        <v>414028398</v>
      </c>
      <c r="H23" s="4"/>
      <c r="I23" s="4">
        <f t="shared" si="0"/>
        <v>126387627</v>
      </c>
      <c r="J23" s="227"/>
      <c r="K23" s="121">
        <f t="shared" si="1"/>
        <v>2.0774050681099752E-2</v>
      </c>
      <c r="L23" s="227"/>
      <c r="M23" s="4">
        <f>IFERROR(VLOOKUP(A23,'درآمد سود سهام'!$A$8:$S$86,19,0),0)</f>
        <v>0</v>
      </c>
      <c r="N23" s="4"/>
      <c r="O23" s="4">
        <f>IFERROR(VLOOKUP(A23,'درآمد ناشی از تغییر قیمت  '!$A$7:$Q$88,17,0),0)</f>
        <v>0</v>
      </c>
      <c r="P23" s="4"/>
      <c r="Q23" s="4">
        <f>IFERROR(VLOOKUP(A23,'درآمد ناشی ازفروش'!$A$7:$Q$87,17,0),0)</f>
        <v>414028398</v>
      </c>
      <c r="R23" s="4"/>
      <c r="S23" s="4">
        <f t="shared" si="2"/>
        <v>414028398</v>
      </c>
      <c r="T23" s="143"/>
      <c r="U23" s="121">
        <f>S23/درآمدها!$J$4</f>
        <v>1.9483937120319147E-2</v>
      </c>
      <c r="V23" s="144"/>
      <c r="W23" s="144"/>
      <c r="X23" s="144"/>
      <c r="Y23" s="144"/>
      <c r="Z23" s="144"/>
      <c r="AA23" s="144"/>
    </row>
    <row r="24" spans="1:27" s="137" customFormat="1" ht="30.75">
      <c r="A24" s="202" t="s">
        <v>89</v>
      </c>
      <c r="C24" s="4">
        <f>IFERROR(VLOOKUP(A24,'درآمد سود سهام'!$A$8:$S$86,13,0),0)</f>
        <v>0</v>
      </c>
      <c r="D24" s="4"/>
      <c r="E24" s="4">
        <f>IFERROR(VLOOKUP(A24,'درآمد ناشی از تغییر قیمت  '!$A$7:$Q$88,9,0),0)</f>
        <v>-1026058409</v>
      </c>
      <c r="F24" s="4"/>
      <c r="G24" s="4">
        <f>IFERROR(VLOOKUP(A24,'درآمد ناشی ازفروش'!$A$7:$I$87,9,0),0)</f>
        <v>2067403489</v>
      </c>
      <c r="H24" s="4"/>
      <c r="I24" s="4">
        <f t="shared" si="0"/>
        <v>1041345080</v>
      </c>
      <c r="J24" s="227"/>
      <c r="K24" s="121">
        <f t="shared" si="1"/>
        <v>0.17116355439155351</v>
      </c>
      <c r="L24" s="227"/>
      <c r="M24" s="4">
        <f>IFERROR(VLOOKUP(A24,'درآمد سود سهام'!$A$8:$S$86,19,0),0)</f>
        <v>0</v>
      </c>
      <c r="N24" s="4"/>
      <c r="O24" s="4">
        <f>IFERROR(VLOOKUP(A24,'درآمد ناشی از تغییر قیمت  '!$A$7:$Q$88,17,0),0)</f>
        <v>0</v>
      </c>
      <c r="P24" s="4"/>
      <c r="Q24" s="4">
        <f>IFERROR(VLOOKUP(A24,'درآمد ناشی ازفروش'!$A$7:$Q$87,17,0),0)</f>
        <v>2078894895</v>
      </c>
      <c r="R24" s="4"/>
      <c r="S24" s="4">
        <f t="shared" si="2"/>
        <v>2078894895</v>
      </c>
      <c r="T24" s="143"/>
      <c r="U24" s="121">
        <f>S24/درآمدها!$J$4</f>
        <v>9.7831592252115226E-2</v>
      </c>
      <c r="V24" s="144"/>
      <c r="W24" s="144"/>
      <c r="X24" s="144"/>
      <c r="Y24" s="144"/>
      <c r="Z24" s="144"/>
      <c r="AA24" s="144"/>
    </row>
    <row r="25" spans="1:27" s="137" customFormat="1" ht="30.75">
      <c r="A25" s="202" t="s">
        <v>88</v>
      </c>
      <c r="C25" s="4">
        <f>IFERROR(VLOOKUP(A25,'درآمد سود سهام'!$A$8:$S$86,13,0),0)</f>
        <v>0</v>
      </c>
      <c r="D25" s="4"/>
      <c r="E25" s="4">
        <f>IFERROR(VLOOKUP(A25,'درآمد ناشی از تغییر قیمت  '!$A$7:$Q$88,9,0),0)</f>
        <v>-840090896</v>
      </c>
      <c r="F25" s="4"/>
      <c r="G25" s="4">
        <f>IFERROR(VLOOKUP(A25,'درآمد ناشی ازفروش'!$A$7:$I$87,9,0),0)</f>
        <v>751430917</v>
      </c>
      <c r="H25" s="4"/>
      <c r="I25" s="4">
        <f t="shared" si="0"/>
        <v>-88659979</v>
      </c>
      <c r="J25" s="227"/>
      <c r="K25" s="121">
        <f t="shared" si="1"/>
        <v>-1.4572841826765525E-2</v>
      </c>
      <c r="L25" s="227"/>
      <c r="M25" s="4">
        <f>IFERROR(VLOOKUP(A25,'درآمد سود سهام'!$A$8:$S$86,19,0),0)</f>
        <v>0</v>
      </c>
      <c r="N25" s="4"/>
      <c r="O25" s="4">
        <f>IFERROR(VLOOKUP(A25,'درآمد ناشی از تغییر قیمت  '!$A$7:$Q$88,17,0),0)</f>
        <v>0</v>
      </c>
      <c r="P25" s="4"/>
      <c r="Q25" s="4">
        <f>IFERROR(VLOOKUP(A25,'درآمد ناشی ازفروش'!$A$7:$Q$87,17,0),0)</f>
        <v>766078628</v>
      </c>
      <c r="R25" s="4"/>
      <c r="S25" s="4">
        <f t="shared" si="2"/>
        <v>766078628</v>
      </c>
      <c r="T25" s="143"/>
      <c r="U25" s="121">
        <f>S25/درآمدها!$J$4</f>
        <v>3.6051217475117164E-2</v>
      </c>
      <c r="V25" s="144"/>
      <c r="W25" s="144"/>
      <c r="X25" s="144"/>
      <c r="Y25" s="144"/>
      <c r="Z25" s="144"/>
      <c r="AA25" s="144"/>
    </row>
    <row r="26" spans="1:27" s="137" customFormat="1" ht="30.75">
      <c r="A26" s="202" t="s">
        <v>109</v>
      </c>
      <c r="C26" s="4">
        <f>IFERROR(VLOOKUP(A26,'درآمد سود سهام'!$A$8:$S$86,13,0),0)</f>
        <v>0</v>
      </c>
      <c r="D26" s="4"/>
      <c r="E26" s="4">
        <f>IFERROR(VLOOKUP(A26,'درآمد ناشی از تغییر قیمت  '!$A$7:$Q$88,9,0),0)</f>
        <v>-691858798</v>
      </c>
      <c r="F26" s="4"/>
      <c r="G26" s="4">
        <f>IFERROR(VLOOKUP(A26,'درآمد ناشی ازفروش'!$A$7:$I$87,9,0),0)</f>
        <v>846930632</v>
      </c>
      <c r="H26" s="4"/>
      <c r="I26" s="4">
        <f t="shared" si="0"/>
        <v>155071834</v>
      </c>
      <c r="J26" s="227"/>
      <c r="K26" s="121">
        <f t="shared" si="1"/>
        <v>2.5488809428529643E-2</v>
      </c>
      <c r="L26" s="227"/>
      <c r="M26" s="4">
        <f>IFERROR(VLOOKUP(A26,'درآمد سود سهام'!$A$8:$S$86,19,0),0)</f>
        <v>0</v>
      </c>
      <c r="N26" s="4"/>
      <c r="O26" s="4">
        <f>IFERROR(VLOOKUP(A26,'درآمد ناشی از تغییر قیمت  '!$A$7:$Q$88,17,0),0)</f>
        <v>0</v>
      </c>
      <c r="P26" s="4"/>
      <c r="Q26" s="4">
        <f>IFERROR(VLOOKUP(A26,'درآمد ناشی ازفروش'!$A$7:$Q$87,17,0),0)</f>
        <v>889633060</v>
      </c>
      <c r="R26" s="4"/>
      <c r="S26" s="4">
        <f t="shared" si="2"/>
        <v>889633060</v>
      </c>
      <c r="T26" s="143"/>
      <c r="U26" s="121">
        <f>S26/درآمدها!$J$4</f>
        <v>4.1865617636201641E-2</v>
      </c>
      <c r="V26" s="144"/>
      <c r="W26" s="144"/>
      <c r="X26" s="144"/>
      <c r="Y26" s="144"/>
      <c r="Z26" s="144"/>
      <c r="AA26" s="144"/>
    </row>
    <row r="27" spans="1:27" s="137" customFormat="1" ht="30.75">
      <c r="A27" s="202" t="s">
        <v>93</v>
      </c>
      <c r="C27" s="4">
        <f>IFERROR(VLOOKUP(A27,'درآمد سود سهام'!$A$8:$S$86,13,0),0)</f>
        <v>0</v>
      </c>
      <c r="D27" s="4"/>
      <c r="E27" s="4">
        <f>IFERROR(VLOOKUP(A27,'درآمد ناشی از تغییر قیمت  '!$A$7:$Q$88,9,0),0)</f>
        <v>-439994546</v>
      </c>
      <c r="F27" s="4"/>
      <c r="G27" s="4">
        <f>IFERROR(VLOOKUP(A27,'درآمد ناشی ازفروش'!$A$7:$I$87,9,0),0)</f>
        <v>374023429</v>
      </c>
      <c r="H27" s="4"/>
      <c r="I27" s="4">
        <f t="shared" si="0"/>
        <v>-65971117</v>
      </c>
      <c r="J27" s="227"/>
      <c r="K27" s="121">
        <f t="shared" si="1"/>
        <v>-1.0843524485563461E-2</v>
      </c>
      <c r="L27" s="227"/>
      <c r="M27" s="4">
        <f>IFERROR(VLOOKUP(A27,'درآمد سود سهام'!$A$8:$S$86,19,0),0)</f>
        <v>0</v>
      </c>
      <c r="N27" s="4"/>
      <c r="O27" s="4">
        <f>IFERROR(VLOOKUP(A27,'درآمد ناشی از تغییر قیمت  '!$A$7:$Q$88,17,0),0)</f>
        <v>15139005</v>
      </c>
      <c r="P27" s="4"/>
      <c r="Q27" s="4">
        <f>IFERROR(VLOOKUP(A27,'درآمد ناشی ازفروش'!$A$7:$Q$87,17,0),0)</f>
        <v>378865730</v>
      </c>
      <c r="R27" s="4"/>
      <c r="S27" s="4">
        <f t="shared" si="2"/>
        <v>394004735</v>
      </c>
      <c r="T27" s="143"/>
      <c r="U27" s="121">
        <f>S27/درآمدها!$J$4</f>
        <v>1.8541635112304566E-2</v>
      </c>
      <c r="V27" s="144"/>
      <c r="W27" s="144"/>
      <c r="X27" s="144"/>
      <c r="Y27" s="144"/>
      <c r="Z27" s="144"/>
      <c r="AA27" s="144"/>
    </row>
    <row r="28" spans="1:27" s="137" customFormat="1" ht="30.75">
      <c r="A28" s="202" t="s">
        <v>135</v>
      </c>
      <c r="C28" s="4">
        <f>IFERROR(VLOOKUP(A28,'درآمد سود سهام'!$A$8:$S$86,13,0),0)</f>
        <v>0</v>
      </c>
      <c r="D28" s="4"/>
      <c r="E28" s="4">
        <f>IFERROR(VLOOKUP(A28,'درآمد ناشی از تغییر قیمت  '!$A$7:$Q$88,9,0),0)</f>
        <v>629730675</v>
      </c>
      <c r="F28" s="4"/>
      <c r="G28" s="4">
        <f>IFERROR(VLOOKUP(A28,'درآمد ناشی ازفروش'!$A$7:$I$87,9,0),0)</f>
        <v>0</v>
      </c>
      <c r="H28" s="4"/>
      <c r="I28" s="4">
        <f t="shared" si="0"/>
        <v>629730675</v>
      </c>
      <c r="J28" s="227"/>
      <c r="K28" s="121">
        <f t="shared" si="1"/>
        <v>0.103507418158054</v>
      </c>
      <c r="L28" s="227"/>
      <c r="M28" s="4">
        <f>IFERROR(VLOOKUP(A28,'درآمد سود سهام'!$A$8:$S$86,19,0),0)</f>
        <v>0</v>
      </c>
      <c r="N28" s="4"/>
      <c r="O28" s="4">
        <f>IFERROR(VLOOKUP(A28,'درآمد ناشی از تغییر قیمت  '!$A$7:$Q$88,17,0),0)</f>
        <v>967210647</v>
      </c>
      <c r="P28" s="4"/>
      <c r="Q28" s="4">
        <f>IFERROR(VLOOKUP(A28,'درآمد ناشی ازفروش'!$A$7:$Q$87,17,0),0)</f>
        <v>28560852</v>
      </c>
      <c r="R28" s="4"/>
      <c r="S28" s="4">
        <f t="shared" si="2"/>
        <v>995771499</v>
      </c>
      <c r="T28" s="143"/>
      <c r="U28" s="121">
        <f>S28/درآمدها!$J$4</f>
        <v>4.6860431232357017E-2</v>
      </c>
      <c r="V28" s="144"/>
      <c r="W28" s="144"/>
      <c r="X28" s="144"/>
      <c r="Y28" s="144"/>
      <c r="Z28" s="144"/>
    </row>
    <row r="29" spans="1:27" s="137" customFormat="1" ht="30.75">
      <c r="A29" s="202" t="s">
        <v>140</v>
      </c>
      <c r="C29" s="4">
        <f>IFERROR(VLOOKUP(A29,'درآمد سود سهام'!$A$8:$S$86,13,0),0)</f>
        <v>0</v>
      </c>
      <c r="D29" s="4"/>
      <c r="E29" s="4">
        <f>IFERROR(VLOOKUP(A29,'درآمد ناشی از تغییر قیمت  '!$A$7:$Q$88,9,0),0)</f>
        <v>39798054</v>
      </c>
      <c r="F29" s="4"/>
      <c r="G29" s="4">
        <f>IFERROR(VLOOKUP(A29,'درآمد ناشی ازفروش'!$A$7:$I$87,9,0),0)</f>
        <v>572536760</v>
      </c>
      <c r="H29" s="4"/>
      <c r="I29" s="4">
        <f t="shared" si="0"/>
        <v>612334814</v>
      </c>
      <c r="J29" s="227"/>
      <c r="K29" s="121">
        <f t="shared" si="1"/>
        <v>0.10064809951560995</v>
      </c>
      <c r="L29" s="227"/>
      <c r="M29" s="4">
        <f>IFERROR(VLOOKUP(A29,'درآمد سود سهام'!$A$8:$S$86,19,0),0)</f>
        <v>0</v>
      </c>
      <c r="N29" s="4"/>
      <c r="O29" s="4">
        <f>IFERROR(VLOOKUP(A29,'درآمد ناشی از تغییر قیمت  '!$A$7:$Q$88,17,0),0)</f>
        <v>0</v>
      </c>
      <c r="P29" s="4"/>
      <c r="Q29" s="4">
        <f>IFERROR(VLOOKUP(A29,'درآمد ناشی ازفروش'!$A$7:$Q$87,17,0),0)</f>
        <v>572536760</v>
      </c>
      <c r="R29" s="4"/>
      <c r="S29" s="4">
        <f t="shared" si="2"/>
        <v>572536760</v>
      </c>
      <c r="T29" s="143"/>
      <c r="U29" s="121">
        <f>S29/درآمدها!$J$4</f>
        <v>2.6943249025423745E-2</v>
      </c>
      <c r="V29" s="144"/>
      <c r="W29" s="144"/>
      <c r="X29" s="144"/>
      <c r="Y29" s="144"/>
      <c r="Z29" s="144"/>
    </row>
    <row r="30" spans="1:27" s="137" customFormat="1" ht="30.75">
      <c r="A30" s="202" t="s">
        <v>133</v>
      </c>
      <c r="C30" s="4">
        <f>IFERROR(VLOOKUP(A30,'درآمد سود سهام'!$A$8:$S$86,13,0),0)</f>
        <v>0</v>
      </c>
      <c r="D30" s="4"/>
      <c r="E30" s="4">
        <f>IFERROR(VLOOKUP(A30,'درآمد ناشی از تغییر قیمت  '!$A$7:$Q$88,9,0),0)</f>
        <v>633408661</v>
      </c>
      <c r="F30" s="4"/>
      <c r="G30" s="4">
        <f>IFERROR(VLOOKUP(A30,'درآمد ناشی ازفروش'!$A$7:$I$87,9,0),0)</f>
        <v>0</v>
      </c>
      <c r="H30" s="4"/>
      <c r="I30" s="4">
        <f t="shared" si="0"/>
        <v>633408661</v>
      </c>
      <c r="J30" s="227"/>
      <c r="K30" s="121">
        <f t="shared" si="1"/>
        <v>0.10411196046478136</v>
      </c>
      <c r="L30" s="227"/>
      <c r="M30" s="4">
        <f>IFERROR(VLOOKUP(A30,'درآمد سود سهام'!$A$8:$S$86,19,0),0)</f>
        <v>0</v>
      </c>
      <c r="N30" s="4"/>
      <c r="O30" s="4">
        <f>IFERROR(VLOOKUP(A30,'درآمد ناشی از تغییر قیمت  '!$A$7:$Q$88,17,0),0)</f>
        <v>868004458</v>
      </c>
      <c r="P30" s="4"/>
      <c r="Q30" s="4">
        <f>IFERROR(VLOOKUP(A30,'درآمد ناشی ازفروش'!$A$7:$Q$87,17,0),0)</f>
        <v>875613</v>
      </c>
      <c r="R30" s="4"/>
      <c r="S30" s="4">
        <f t="shared" si="2"/>
        <v>868880071</v>
      </c>
      <c r="T30" s="143"/>
      <c r="U30" s="121">
        <f>S30/درآمدها!$J$4</f>
        <v>4.0888993968144272E-2</v>
      </c>
      <c r="V30" s="144"/>
      <c r="W30" s="144"/>
      <c r="X30" s="144"/>
      <c r="Y30" s="144"/>
      <c r="Z30" s="144"/>
    </row>
    <row r="31" spans="1:27" s="137" customFormat="1" ht="33">
      <c r="A31" s="202" t="s">
        <v>136</v>
      </c>
      <c r="C31" s="4">
        <f>IFERROR(VLOOKUP(A31,'درآمد سود سهام'!$A$8:$S$86,13,0),0)</f>
        <v>0</v>
      </c>
      <c r="D31" s="4"/>
      <c r="E31" s="4">
        <f>IFERROR(VLOOKUP(A31,'درآمد ناشی از تغییر قیمت  '!$A$7:$Q$88,9,0),0)</f>
        <v>-309770648</v>
      </c>
      <c r="F31" s="4"/>
      <c r="G31" s="4">
        <f>IFERROR(VLOOKUP(A31,'درآمد ناشی ازفروش'!$A$7:$I$87,9,0),0)</f>
        <v>1316246316</v>
      </c>
      <c r="H31" s="4"/>
      <c r="I31" s="4">
        <f t="shared" si="0"/>
        <v>1006475668</v>
      </c>
      <c r="J31" s="227"/>
      <c r="K31" s="121">
        <f t="shared" si="1"/>
        <v>0.1654321473756741</v>
      </c>
      <c r="L31" s="227"/>
      <c r="M31" s="4">
        <f>IFERROR(VLOOKUP(A31,'درآمد سود سهام'!$A$8:$S$86,19,0),0)</f>
        <v>0</v>
      </c>
      <c r="N31" s="4"/>
      <c r="O31" s="4">
        <f>IFERROR(VLOOKUP(A31,'درآمد ناشی از تغییر قیمت  '!$A$7:$Q$88,17,0),0)</f>
        <v>0</v>
      </c>
      <c r="P31" s="4"/>
      <c r="Q31" s="4">
        <f>IFERROR(VLOOKUP(A31,'درآمد ناشی ازفروش'!$A$7:$Q$87,17,0),0)</f>
        <v>1316246316</v>
      </c>
      <c r="R31" s="4"/>
      <c r="S31" s="4">
        <f t="shared" si="2"/>
        <v>1316246316</v>
      </c>
      <c r="T31" s="143"/>
      <c r="U31" s="121">
        <f>S31/درآمدها!$J$4</f>
        <v>6.1941790900525928E-2</v>
      </c>
      <c r="W31" s="39"/>
      <c r="X31" s="144"/>
      <c r="Y31" s="144"/>
      <c r="Z31" s="144"/>
    </row>
    <row r="32" spans="1:27" s="137" customFormat="1" ht="33">
      <c r="A32" s="202" t="s">
        <v>98</v>
      </c>
      <c r="C32" s="4">
        <f>IFERROR(VLOOKUP(A32,'درآمد سود سهام'!$A$8:$S$86,13,0),0)</f>
        <v>0</v>
      </c>
      <c r="D32" s="4"/>
      <c r="E32" s="4">
        <f>IFERROR(VLOOKUP(A32,'درآمد ناشی از تغییر قیمت  '!$A$7:$Q$88,9,0),0)</f>
        <v>0</v>
      </c>
      <c r="F32" s="4"/>
      <c r="G32" s="4">
        <f>IFERROR(VLOOKUP(A32,'درآمد ناشی ازفروش'!$A$7:$I$87,9,0),0)</f>
        <v>0</v>
      </c>
      <c r="H32" s="4"/>
      <c r="I32" s="4">
        <f t="shared" si="0"/>
        <v>0</v>
      </c>
      <c r="J32" s="227"/>
      <c r="K32" s="121">
        <f t="shared" si="1"/>
        <v>0</v>
      </c>
      <c r="L32" s="227"/>
      <c r="M32" s="4">
        <f>IFERROR(VLOOKUP(A32,'درآمد سود سهام'!$A$8:$S$86,19,0),0)</f>
        <v>0</v>
      </c>
      <c r="N32" s="4"/>
      <c r="O32" s="4">
        <f>IFERROR(VLOOKUP(A32,'درآمد ناشی از تغییر قیمت  '!$A$7:$Q$88,17,0),0)</f>
        <v>0</v>
      </c>
      <c r="P32" s="4"/>
      <c r="Q32" s="4">
        <f>IFERROR(VLOOKUP(A32,'درآمد ناشی ازفروش'!$A$7:$Q$87,17,0),0)</f>
        <v>4544899</v>
      </c>
      <c r="R32" s="4"/>
      <c r="S32" s="4">
        <f t="shared" si="2"/>
        <v>4544899</v>
      </c>
      <c r="T32" s="143"/>
      <c r="U32" s="121">
        <f>S32/درآمدها!$J$4</f>
        <v>2.1388032019533447E-4</v>
      </c>
      <c r="V32" s="203"/>
      <c r="W32" s="39"/>
      <c r="X32" s="144"/>
      <c r="Y32" s="144"/>
      <c r="Z32" s="144"/>
    </row>
    <row r="33" spans="1:26" s="137" customFormat="1" ht="33">
      <c r="A33" s="202" t="s">
        <v>102</v>
      </c>
      <c r="C33" s="4">
        <f>IFERROR(VLOOKUP(A33,'درآمد سود سهام'!$A$8:$S$86,13,0),0)</f>
        <v>0</v>
      </c>
      <c r="D33" s="4"/>
      <c r="E33" s="4">
        <f>IFERROR(VLOOKUP(A33,'درآمد ناشی از تغییر قیمت  '!$A$7:$Q$88,9,0),0)</f>
        <v>-1110950278</v>
      </c>
      <c r="F33" s="4"/>
      <c r="G33" s="4">
        <f>IFERROR(VLOOKUP(A33,'درآمد ناشی ازفروش'!$A$7:$I$87,9,0),0)</f>
        <v>1521393559</v>
      </c>
      <c r="H33" s="4"/>
      <c r="I33" s="4">
        <f t="shared" si="0"/>
        <v>410443281</v>
      </c>
      <c r="J33" s="227"/>
      <c r="K33" s="121">
        <f t="shared" si="1"/>
        <v>6.7463641209205297E-2</v>
      </c>
      <c r="L33" s="227"/>
      <c r="M33" s="4">
        <f>IFERROR(VLOOKUP(A33,'درآمد سود سهام'!$A$8:$S$86,19,0),0)</f>
        <v>0</v>
      </c>
      <c r="N33" s="4"/>
      <c r="O33" s="4">
        <f>IFERROR(VLOOKUP(A33,'درآمد ناشی از تغییر قیمت  '!$A$7:$Q$88,17,0),0)</f>
        <v>0</v>
      </c>
      <c r="P33" s="4"/>
      <c r="Q33" s="4">
        <f>IFERROR(VLOOKUP(A33,'درآمد ناشی ازفروش'!$A$7:$Q$87,17,0),0)</f>
        <v>1523434213</v>
      </c>
      <c r="R33" s="4"/>
      <c r="S33" s="4">
        <f t="shared" si="2"/>
        <v>1523434213</v>
      </c>
      <c r="T33" s="143"/>
      <c r="U33" s="121">
        <f>S33/درآمدها!$J$4</f>
        <v>7.1691933588175966E-2</v>
      </c>
      <c r="V33" s="195"/>
      <c r="W33" s="39"/>
      <c r="X33" s="144"/>
      <c r="Y33" s="144"/>
      <c r="Z33" s="144"/>
    </row>
    <row r="34" spans="1:26" s="137" customFormat="1" ht="33">
      <c r="A34" s="202" t="s">
        <v>111</v>
      </c>
      <c r="C34" s="4">
        <f>IFERROR(VLOOKUP(A34,'درآمد سود سهام'!$A$8:$S$86,13,0),0)</f>
        <v>0</v>
      </c>
      <c r="D34" s="4"/>
      <c r="E34" s="4">
        <f>IFERROR(VLOOKUP(A34,'درآمد ناشی از تغییر قیمت  '!$A$7:$Q$88,9,0),0)</f>
        <v>-2534111575</v>
      </c>
      <c r="F34" s="4"/>
      <c r="G34" s="4">
        <f>IFERROR(VLOOKUP(A34,'درآمد ناشی ازفروش'!$A$7:$I$87,9,0),0)</f>
        <v>0</v>
      </c>
      <c r="H34" s="4"/>
      <c r="I34" s="4">
        <f t="shared" si="0"/>
        <v>-2534111575</v>
      </c>
      <c r="J34" s="227"/>
      <c r="K34" s="121">
        <f t="shared" si="1"/>
        <v>-0.41652623393753185</v>
      </c>
      <c r="L34" s="227"/>
      <c r="M34" s="4">
        <f>IFERROR(VLOOKUP(A34,'درآمد سود سهام'!$A$8:$S$86,19,0),0)</f>
        <v>217608300</v>
      </c>
      <c r="N34" s="4"/>
      <c r="O34" s="4">
        <f>IFERROR(VLOOKUP(A34,'درآمد ناشی از تغییر قیمت  '!$A$7:$Q$88,17,0),0)</f>
        <v>-2104085547</v>
      </c>
      <c r="P34" s="4"/>
      <c r="Q34" s="4">
        <f>IFERROR(VLOOKUP(A34,'درآمد ناشی ازفروش'!$A$7:$Q$87,17,0),0)</f>
        <v>10563286</v>
      </c>
      <c r="R34" s="4"/>
      <c r="S34" s="4">
        <f t="shared" si="2"/>
        <v>-1875913961</v>
      </c>
      <c r="T34" s="143"/>
      <c r="U34" s="121">
        <f>S34/درآمدها!$J$4</f>
        <v>-8.8279426811812139E-2</v>
      </c>
      <c r="V34" s="39"/>
      <c r="W34" s="39"/>
      <c r="X34" s="144"/>
      <c r="Y34" s="144"/>
      <c r="Z34" s="144"/>
    </row>
    <row r="35" spans="1:26" s="137" customFormat="1" ht="33">
      <c r="A35" s="202" t="s">
        <v>101</v>
      </c>
      <c r="C35" s="4">
        <f>IFERROR(VLOOKUP(A35,'درآمد سود سهام'!$A$8:$S$86,13,0),0)</f>
        <v>0</v>
      </c>
      <c r="D35" s="4"/>
      <c r="E35" s="4">
        <f>IFERROR(VLOOKUP(A35,'درآمد ناشی از تغییر قیمت  '!$A$7:$Q$88,9,0),0)</f>
        <v>25789137</v>
      </c>
      <c r="F35" s="4"/>
      <c r="G35" s="4">
        <f>IFERROR(VLOOKUP(A35,'درآمد ناشی ازفروش'!$A$7:$I$87,9,0),0)</f>
        <v>0</v>
      </c>
      <c r="H35" s="4"/>
      <c r="I35" s="4">
        <f t="shared" si="0"/>
        <v>25789137</v>
      </c>
      <c r="J35" s="227"/>
      <c r="K35" s="121">
        <f t="shared" si="1"/>
        <v>4.2389025870374544E-3</v>
      </c>
      <c r="L35" s="227"/>
      <c r="M35" s="4">
        <f>IFERROR(VLOOKUP(A35,'درآمد سود سهام'!$A$8:$S$86,19,0),0)</f>
        <v>0</v>
      </c>
      <c r="N35" s="4"/>
      <c r="O35" s="4">
        <f>IFERROR(VLOOKUP(A35,'درآمد ناشی از تغییر قیمت  '!$A$7:$Q$88,17,0),0)</f>
        <v>20631314</v>
      </c>
      <c r="P35" s="4"/>
      <c r="Q35" s="4">
        <f>IFERROR(VLOOKUP(A35,'درآمد ناشی ازفروش'!$A$7:$Q$87,17,0),0)</f>
        <v>-121631436</v>
      </c>
      <c r="R35" s="4"/>
      <c r="S35" s="4">
        <f t="shared" si="2"/>
        <v>-101000122</v>
      </c>
      <c r="T35" s="143"/>
      <c r="U35" s="121">
        <f>S35/درآمدها!$J$4</f>
        <v>-4.753007367848624E-3</v>
      </c>
      <c r="V35" s="39"/>
      <c r="W35" s="39"/>
      <c r="X35" s="144"/>
      <c r="Y35" s="144"/>
      <c r="Z35" s="144"/>
    </row>
    <row r="36" spans="1:26" s="137" customFormat="1" ht="33">
      <c r="A36" s="202" t="s">
        <v>112</v>
      </c>
      <c r="C36" s="4">
        <f>IFERROR(VLOOKUP(A36,'درآمد سود سهام'!$A$8:$S$86,13,0),0)</f>
        <v>0</v>
      </c>
      <c r="D36" s="4"/>
      <c r="E36" s="4">
        <f>IFERROR(VLOOKUP(A36,'درآمد ناشی از تغییر قیمت  '!$A$7:$Q$88,9,0),0)</f>
        <v>-1878008964</v>
      </c>
      <c r="F36" s="4"/>
      <c r="G36" s="4">
        <f>IFERROR(VLOOKUP(A36,'درآمد ناشی ازفروش'!$A$7:$I$87,9,0),0)</f>
        <v>0</v>
      </c>
      <c r="H36" s="4"/>
      <c r="I36" s="4">
        <f t="shared" si="0"/>
        <v>-1878008964</v>
      </c>
      <c r="J36" s="227"/>
      <c r="K36" s="121">
        <f t="shared" si="1"/>
        <v>-0.3086841198284041</v>
      </c>
      <c r="L36" s="227"/>
      <c r="M36" s="4">
        <f>IFERROR(VLOOKUP(A36,'درآمد سود سهام'!$A$8:$S$86,19,0),0)</f>
        <v>0</v>
      </c>
      <c r="N36" s="4"/>
      <c r="O36" s="4">
        <f>IFERROR(VLOOKUP(A36,'درآمد ناشی از تغییر قیمت  '!$A$7:$Q$88,17,0),0)</f>
        <v>984531970</v>
      </c>
      <c r="P36" s="4"/>
      <c r="Q36" s="4">
        <f>IFERROR(VLOOKUP(A36,'درآمد ناشی ازفروش'!$A$7:$Q$87,17,0),0)</f>
        <v>0</v>
      </c>
      <c r="R36" s="4"/>
      <c r="S36" s="4">
        <f t="shared" si="2"/>
        <v>984531970</v>
      </c>
      <c r="T36" s="143"/>
      <c r="U36" s="121">
        <f>S36/درآمدها!$J$4</f>
        <v>4.6331505493552971E-2</v>
      </c>
      <c r="V36" s="39"/>
      <c r="W36" s="39"/>
      <c r="X36" s="144"/>
      <c r="Y36" s="144"/>
      <c r="Z36" s="144"/>
    </row>
    <row r="37" spans="1:26" s="137" customFormat="1" ht="33">
      <c r="A37" s="202" t="s">
        <v>113</v>
      </c>
      <c r="C37" s="4">
        <f>IFERROR(VLOOKUP(A37,'درآمد سود سهام'!$A$8:$S$86,13,0),0)</f>
        <v>0</v>
      </c>
      <c r="D37" s="4"/>
      <c r="E37" s="4">
        <f>IFERROR(VLOOKUP(A37,'درآمد ناشی از تغییر قیمت  '!$A$7:$Q$88,9,0),0)</f>
        <v>89464500</v>
      </c>
      <c r="F37" s="4"/>
      <c r="G37" s="4">
        <f>IFERROR(VLOOKUP(A37,'درآمد ناشی ازفروش'!$A$7:$I$87,9,0),0)</f>
        <v>0</v>
      </c>
      <c r="H37" s="4"/>
      <c r="I37" s="4">
        <f t="shared" si="0"/>
        <v>89464500</v>
      </c>
      <c r="J37" s="227"/>
      <c r="K37" s="121">
        <f t="shared" si="1"/>
        <v>1.4705079138476497E-2</v>
      </c>
      <c r="L37" s="227"/>
      <c r="M37" s="4">
        <f>IFERROR(VLOOKUP(A37,'درآمد سود سهام'!$A$8:$S$86,19,0),0)</f>
        <v>0</v>
      </c>
      <c r="N37" s="4"/>
      <c r="O37" s="4">
        <f>IFERROR(VLOOKUP(A37,'درآمد ناشی از تغییر قیمت  '!$A$7:$Q$88,17,0),0)</f>
        <v>324060300</v>
      </c>
      <c r="P37" s="4"/>
      <c r="Q37" s="4">
        <f>IFERROR(VLOOKUP(A37,'درآمد ناشی ازفروش'!$A$7:$Q$87,17,0),0)</f>
        <v>0</v>
      </c>
      <c r="R37" s="4"/>
      <c r="S37" s="4">
        <f t="shared" si="2"/>
        <v>324060300</v>
      </c>
      <c r="T37" s="143"/>
      <c r="U37" s="121">
        <f>S37/درآمدها!$J$4</f>
        <v>1.5250090425903005E-2</v>
      </c>
      <c r="V37" s="39"/>
      <c r="W37" s="39"/>
      <c r="X37" s="144"/>
      <c r="Y37" s="144"/>
      <c r="Z37" s="144"/>
    </row>
    <row r="38" spans="1:26" s="137" customFormat="1" ht="33">
      <c r="A38" s="202" t="s">
        <v>147</v>
      </c>
      <c r="C38" s="4">
        <f>IFERROR(VLOOKUP(A38,'درآمد سود سهام'!$A$8:$S$86,13,0),0)</f>
        <v>0</v>
      </c>
      <c r="D38" s="4"/>
      <c r="E38" s="4">
        <f>IFERROR(VLOOKUP(A38,'درآمد ناشی از تغییر قیمت  '!$A$7:$Q$88,9,0),0)</f>
        <v>3750914000</v>
      </c>
      <c r="F38" s="4"/>
      <c r="G38" s="4">
        <f>IFERROR(VLOOKUP(A38,'درآمد ناشی ازفروش'!$A$7:$I$87,9,0),0)</f>
        <v>242487</v>
      </c>
      <c r="H38" s="4"/>
      <c r="I38" s="4">
        <f t="shared" si="0"/>
        <v>3751156487</v>
      </c>
      <c r="J38" s="227"/>
      <c r="K38" s="121">
        <f t="shared" si="1"/>
        <v>0.61656917550698309</v>
      </c>
      <c r="L38" s="227"/>
      <c r="M38" s="4">
        <f>IFERROR(VLOOKUP(A38,'درآمد سود سهام'!$A$8:$S$86,19,0),0)</f>
        <v>0</v>
      </c>
      <c r="N38" s="4"/>
      <c r="O38" s="4">
        <f>IFERROR(VLOOKUP(A38,'درآمد ناشی از تغییر قیمت  '!$A$7:$Q$88,17,0),0)</f>
        <v>3750914000</v>
      </c>
      <c r="P38" s="4"/>
      <c r="Q38" s="4">
        <f>IFERROR(VLOOKUP(A38,'درآمد ناشی ازفروش'!$A$7:$Q$87,17,0),0)</f>
        <v>242487</v>
      </c>
      <c r="R38" s="4"/>
      <c r="S38" s="4">
        <f t="shared" si="2"/>
        <v>3751156487</v>
      </c>
      <c r="T38" s="143"/>
      <c r="U38" s="121">
        <f>S38/درآمدها!$J$4</f>
        <v>0.17652725628058313</v>
      </c>
      <c r="V38" s="39"/>
      <c r="W38" s="39"/>
      <c r="X38" s="144"/>
      <c r="Y38" s="144"/>
      <c r="Z38" s="144"/>
    </row>
    <row r="39" spans="1:26" s="203" customFormat="1" ht="25.5" customHeight="1" thickBot="1">
      <c r="C39" s="218">
        <f>SUM(C11:C38)</f>
        <v>0</v>
      </c>
      <c r="D39" s="228"/>
      <c r="E39" s="218">
        <f>SUM(E11:E38)</f>
        <v>-5839727671</v>
      </c>
      <c r="F39" s="228"/>
      <c r="G39" s="218">
        <f>SUM(G11:G38)</f>
        <v>10725114234</v>
      </c>
      <c r="H39" s="228"/>
      <c r="I39" s="218">
        <f>SUM(I11:I38)</f>
        <v>4885386563</v>
      </c>
      <c r="J39" s="229"/>
      <c r="K39" s="67">
        <f>SUM(K11:K38)</f>
        <v>0.80300002829015649</v>
      </c>
      <c r="L39" s="230"/>
      <c r="M39" s="218">
        <f>SUM(M11:M38)</f>
        <v>531576343</v>
      </c>
      <c r="N39" s="228"/>
      <c r="O39" s="218">
        <f>SUM(O11:O38)</f>
        <v>6616771707</v>
      </c>
      <c r="P39" s="228"/>
      <c r="Q39" s="218">
        <f>SUM(Q11:Q38)</f>
        <v>11425489084</v>
      </c>
      <c r="R39" s="228"/>
      <c r="S39" s="218">
        <f>SUM(S11:S38)</f>
        <v>18573837134</v>
      </c>
      <c r="T39" s="204"/>
      <c r="U39" s="67">
        <f>SUM(U11:U38)</f>
        <v>0.87407404069395467</v>
      </c>
      <c r="V39" s="39"/>
      <c r="W39" s="39"/>
      <c r="X39" s="39"/>
      <c r="Y39" s="195"/>
      <c r="Z39" s="195"/>
    </row>
    <row r="40" spans="1:26" ht="25.5" customHeight="1" thickTop="1">
      <c r="D40" s="4"/>
      <c r="F40" s="4"/>
      <c r="H40" s="4"/>
      <c r="J40" s="143"/>
      <c r="L40" s="137"/>
      <c r="N40" s="4"/>
      <c r="O40" s="205"/>
      <c r="P40" s="4"/>
      <c r="Q40" s="205"/>
      <c r="R40" s="4"/>
      <c r="S40" s="205"/>
      <c r="T40" s="205"/>
      <c r="V40" s="39"/>
      <c r="X40" s="39"/>
      <c r="Y40" s="39"/>
      <c r="Z40" s="39"/>
    </row>
    <row r="41" spans="1:26" s="4" customFormat="1" ht="33.75" customHeight="1"/>
    <row r="42" spans="1:26" s="4" customFormat="1" ht="30.75"/>
    <row r="43" spans="1:26" s="4" customFormat="1" ht="30.75"/>
    <row r="44" spans="1:26" s="4" customFormat="1" ht="30.75"/>
    <row r="45" spans="1:26" s="4" customFormat="1" ht="30.75">
      <c r="K45" s="246"/>
    </row>
    <row r="46" spans="1:26" s="4" customFormat="1" ht="30.75"/>
    <row r="47" spans="1:26" s="4" customFormat="1" ht="30.75"/>
    <row r="48" spans="1:26" s="4" customFormat="1" ht="30.75"/>
    <row r="49" s="4" customFormat="1" ht="30.75"/>
    <row r="50" s="4" customFormat="1" ht="30.75"/>
    <row r="51" s="4" customFormat="1" ht="30.75"/>
    <row r="52" s="4" customFormat="1" ht="30.75"/>
    <row r="53" s="4" customFormat="1" ht="30.75"/>
    <row r="54" s="4" customFormat="1" ht="30.75"/>
    <row r="55" s="4" customFormat="1" ht="30.75"/>
  </sheetData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.25" right="0.25" top="0.75" bottom="0.75" header="0.3" footer="0.3"/>
  <pageSetup paperSize="9"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  <pageSetUpPr fitToPage="1"/>
  </sheetPr>
  <dimension ref="A1:Q17"/>
  <sheetViews>
    <sheetView rightToLeft="1" view="pageBreakPreview" zoomScale="85" zoomScaleNormal="100" zoomScaleSheetLayoutView="85" workbookViewId="0">
      <selection activeCell="C12" sqref="C12"/>
    </sheetView>
  </sheetViews>
  <sheetFormatPr defaultColWidth="9.140625" defaultRowHeight="21.75"/>
  <cols>
    <col min="1" max="1" width="39.42578125" style="55" bestFit="1" customWidth="1"/>
    <col min="2" max="2" width="0.42578125" style="55" customWidth="1"/>
    <col min="3" max="3" width="14.7109375" style="55" bestFit="1" customWidth="1"/>
    <col min="4" max="4" width="0.28515625" style="55" customWidth="1"/>
    <col min="5" max="5" width="25.140625" style="55" customWidth="1"/>
    <col min="6" max="6" width="0.28515625" style="55" customWidth="1"/>
    <col min="7" max="7" width="15" style="55" bestFit="1" customWidth="1"/>
    <col min="8" max="8" width="0.42578125" style="55" customWidth="1"/>
    <col min="9" max="9" width="25.140625" style="55" bestFit="1" customWidth="1"/>
    <col min="10" max="10" width="0.5703125" style="55" customWidth="1"/>
    <col min="11" max="11" width="14.7109375" style="55" bestFit="1" customWidth="1"/>
    <col min="12" max="12" width="0.28515625" style="55" customWidth="1"/>
    <col min="13" max="13" width="25.140625" style="55" bestFit="1" customWidth="1"/>
    <col min="14" max="14" width="0.42578125" style="55" customWidth="1"/>
    <col min="15" max="15" width="15" style="55" bestFit="1" customWidth="1"/>
    <col min="16" max="16" width="0.28515625" style="55" customWidth="1"/>
    <col min="17" max="17" width="25.140625" style="55" bestFit="1" customWidth="1"/>
    <col min="18" max="18" width="13.7109375" style="55" bestFit="1" customWidth="1"/>
    <col min="19" max="16384" width="9.140625" style="55"/>
  </cols>
  <sheetData>
    <row r="1" spans="1:17" ht="21" customHeight="1">
      <c r="A1" s="314" t="s">
        <v>87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8" customHeight="1">
      <c r="A2" s="314" t="s">
        <v>52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7" ht="19.5" customHeight="1">
      <c r="A3" s="314" t="str">
        <f>' سهام'!A3:W3</f>
        <v>برای ماه منتهی به 1403/10/30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7">
      <c r="A4" s="285" t="s">
        <v>26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</row>
    <row r="5" spans="1:17" ht="4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2.5" customHeight="1" thickBot="1">
      <c r="A6" s="188"/>
      <c r="B6" s="189"/>
      <c r="C6" s="314" t="str">
        <f>'درآمد سرمایه گذاری در سهام '!C7</f>
        <v>طی دی ماه</v>
      </c>
      <c r="D6" s="314"/>
      <c r="E6" s="314"/>
      <c r="F6" s="314"/>
      <c r="G6" s="314"/>
      <c r="H6" s="314"/>
      <c r="I6" s="314"/>
      <c r="J6" s="167"/>
      <c r="K6" s="317" t="str">
        <f>'درآمد سرمایه گذاری در سهام '!M7</f>
        <v>از ابتدای سال مالی تا پایان دی ماه</v>
      </c>
      <c r="L6" s="317"/>
      <c r="M6" s="317"/>
      <c r="N6" s="317"/>
      <c r="O6" s="317"/>
      <c r="P6" s="317"/>
      <c r="Q6" s="317"/>
    </row>
    <row r="7" spans="1:17" ht="15.75" customHeight="1">
      <c r="A7" s="319"/>
      <c r="B7" s="320"/>
      <c r="C7" s="315" t="s">
        <v>12</v>
      </c>
      <c r="D7" s="315"/>
      <c r="E7" s="315" t="s">
        <v>10</v>
      </c>
      <c r="F7" s="283"/>
      <c r="G7" s="315" t="s">
        <v>11</v>
      </c>
      <c r="H7" s="319"/>
      <c r="I7" s="315" t="s">
        <v>2</v>
      </c>
      <c r="J7" s="190"/>
      <c r="K7" s="315" t="s">
        <v>12</v>
      </c>
      <c r="L7" s="315"/>
      <c r="M7" s="315" t="s">
        <v>10</v>
      </c>
      <c r="N7" s="283"/>
      <c r="O7" s="315" t="s">
        <v>11</v>
      </c>
      <c r="P7" s="319"/>
      <c r="Q7" s="315" t="s">
        <v>2</v>
      </c>
    </row>
    <row r="8" spans="1:17" ht="12" customHeight="1">
      <c r="A8" s="320"/>
      <c r="B8" s="320"/>
      <c r="C8" s="316"/>
      <c r="D8" s="316"/>
      <c r="E8" s="316"/>
      <c r="F8" s="318"/>
      <c r="G8" s="316"/>
      <c r="H8" s="320"/>
      <c r="I8" s="316"/>
      <c r="J8" s="190"/>
      <c r="K8" s="316"/>
      <c r="L8" s="316"/>
      <c r="M8" s="316"/>
      <c r="N8" s="318"/>
      <c r="O8" s="316"/>
      <c r="P8" s="320"/>
      <c r="Q8" s="316"/>
    </row>
    <row r="9" spans="1:17" ht="14.25" customHeight="1" thickBot="1">
      <c r="A9" s="320"/>
      <c r="B9" s="320"/>
      <c r="C9" s="191" t="s">
        <v>62</v>
      </c>
      <c r="D9" s="316"/>
      <c r="E9" s="191" t="s">
        <v>57</v>
      </c>
      <c r="F9" s="318"/>
      <c r="G9" s="191" t="s">
        <v>58</v>
      </c>
      <c r="H9" s="320"/>
      <c r="I9" s="321"/>
      <c r="J9" s="192"/>
      <c r="K9" s="191" t="s">
        <v>62</v>
      </c>
      <c r="L9" s="316"/>
      <c r="M9" s="191" t="s">
        <v>57</v>
      </c>
      <c r="N9" s="318"/>
      <c r="O9" s="191" t="s">
        <v>58</v>
      </c>
      <c r="P9" s="320"/>
      <c r="Q9" s="321"/>
    </row>
    <row r="10" spans="1:17" ht="21" customHeight="1">
      <c r="A10" s="170" t="s">
        <v>104</v>
      </c>
      <c r="B10" s="1"/>
      <c r="C10" s="31">
        <f>IFERROR(VLOOKUP(A10,'سود اوراق بهادار'!$A$8:$R$50,6,0),0)</f>
        <v>0</v>
      </c>
      <c r="D10" s="15"/>
      <c r="E10" s="31">
        <f>IFERROR(VLOOKUP(A10,'درآمد ناشی از تغییر قیمت  '!$A$7:$Q$88,9,0),0)</f>
        <v>-14497373</v>
      </c>
      <c r="F10" s="15"/>
      <c r="G10" s="31">
        <f>IFERROR(VLOOKUP(A10,'درآمد ناشی ازفروش'!$A$7:$I$87,9,0),0)</f>
        <v>0</v>
      </c>
      <c r="H10" s="15"/>
      <c r="I10" s="31">
        <f>C10+E10+G10</f>
        <v>-14497373</v>
      </c>
      <c r="J10" s="15"/>
      <c r="K10" s="31">
        <f>IFERROR(VLOOKUP(A10,'سود اوراق بهادار'!$A$8:$R$50,12,0),0)</f>
        <v>0</v>
      </c>
      <c r="L10" s="15"/>
      <c r="M10" s="31">
        <f>IFERROR(VLOOKUP(A10,'درآمد ناشی از تغییر قیمت  '!$A$7:$Q$88,17,0),0)</f>
        <v>426522676</v>
      </c>
      <c r="N10" s="15"/>
      <c r="O10" s="31">
        <f>IFERROR(VLOOKUP(A10,'درآمد ناشی ازفروش'!$A$7:$Q$87,17,0),0)</f>
        <v>45168595</v>
      </c>
      <c r="P10" s="15"/>
      <c r="Q10" s="31">
        <f>K10+M10+O10</f>
        <v>471691271</v>
      </c>
    </row>
    <row r="11" spans="1:17" ht="21" customHeight="1">
      <c r="A11" s="170" t="s">
        <v>103</v>
      </c>
      <c r="B11" s="1"/>
      <c r="C11" s="31">
        <f>IFERROR(VLOOKUP(A11,'سود اوراق بهادار'!$A$8:$R$50,6,0),0)</f>
        <v>0</v>
      </c>
      <c r="D11" s="15"/>
      <c r="E11" s="31">
        <f>IFERROR(VLOOKUP(A11,'درآمد ناشی از تغییر قیمت  '!$A$7:$Q$88,9,0),0)</f>
        <v>159071163</v>
      </c>
      <c r="F11" s="15"/>
      <c r="G11" s="31">
        <f>IFERROR(VLOOKUP(A11,'درآمد ناشی ازفروش'!$A$7:$I$87,9,0),0)</f>
        <v>0</v>
      </c>
      <c r="H11" s="15"/>
      <c r="I11" s="31">
        <f t="shared" ref="I11:I12" si="0">C11+E11+G11</f>
        <v>159071163</v>
      </c>
      <c r="J11" s="15"/>
      <c r="K11" s="31">
        <f>IFERROR(VLOOKUP(A11,'سود اوراق بهادار'!$A$8:$R$50,12,0),0)</f>
        <v>0</v>
      </c>
      <c r="L11" s="15"/>
      <c r="M11" s="31">
        <f>IFERROR(VLOOKUP(A11,'درآمد ناشی از تغییر قیمت  '!$A$7:$Q$88,17,0),0)</f>
        <v>572496214</v>
      </c>
      <c r="N11" s="15"/>
      <c r="O11" s="31">
        <f>IFERROR(VLOOKUP(A11,'درآمد ناشی ازفروش'!$A$7:$Q$87,17,0),0)</f>
        <v>122511545</v>
      </c>
      <c r="P11" s="15"/>
      <c r="Q11" s="31">
        <f t="shared" ref="Q11:Q12" si="1">K11+M11+O11</f>
        <v>695007759</v>
      </c>
    </row>
    <row r="12" spans="1:17" ht="21" customHeight="1">
      <c r="A12" s="170" t="s">
        <v>114</v>
      </c>
      <c r="B12" s="1"/>
      <c r="C12" s="31">
        <f>IFERROR(VLOOKUP(A12,'سود اوراق بهادار'!$A$8:$R$50,6,0),0)</f>
        <v>0</v>
      </c>
      <c r="D12" s="15"/>
      <c r="E12" s="31">
        <f>IFERROR(VLOOKUP(A12,'درآمد ناشی از تغییر قیمت  '!$A$7:$Q$88,9,0),0)</f>
        <v>50066925</v>
      </c>
      <c r="F12" s="15"/>
      <c r="G12" s="31">
        <f>IFERROR(VLOOKUP(A12,'درآمد ناشی ازفروش'!$A$7:$I$87,9,0),0)</f>
        <v>0</v>
      </c>
      <c r="H12" s="15"/>
      <c r="I12" s="31">
        <f t="shared" si="0"/>
        <v>50066925</v>
      </c>
      <c r="J12" s="15"/>
      <c r="K12" s="31">
        <f>IFERROR(VLOOKUP(A12,'سود اوراق بهادار'!$A$8:$R$50,12,0),0)</f>
        <v>0</v>
      </c>
      <c r="L12" s="15"/>
      <c r="M12" s="31">
        <f>IFERROR(VLOOKUP(A12,'درآمد ناشی از تغییر قیمت  '!$A$7:$Q$88,17,0),0)</f>
        <v>369808960</v>
      </c>
      <c r="N12" s="15"/>
      <c r="O12" s="31">
        <f>IFERROR(VLOOKUP(A12,'درآمد ناشی ازفروش'!$A$7:$Q$87,17,0),0)</f>
        <v>1637938</v>
      </c>
      <c r="P12" s="15"/>
      <c r="Q12" s="31">
        <f t="shared" si="1"/>
        <v>371446898</v>
      </c>
    </row>
    <row r="13" spans="1:17" ht="21" customHeight="1" thickBot="1">
      <c r="A13" s="193" t="s">
        <v>2</v>
      </c>
      <c r="B13" s="194"/>
      <c r="C13" s="73">
        <f>SUM(C10:C12)</f>
        <v>0</v>
      </c>
      <c r="D13" s="70"/>
      <c r="E13" s="73">
        <f>SUM(E10:E12)</f>
        <v>194640715</v>
      </c>
      <c r="F13" s="70"/>
      <c r="G13" s="73">
        <f>SUM(G10:G12)</f>
        <v>0</v>
      </c>
      <c r="H13" s="70"/>
      <c r="I13" s="73">
        <f>SUM(I10:I12)</f>
        <v>194640715</v>
      </c>
      <c r="J13" s="70"/>
      <c r="K13" s="73">
        <f>SUM(K10:K12)</f>
        <v>0</v>
      </c>
      <c r="L13" s="70"/>
      <c r="M13" s="73">
        <f>SUM(M10:M12)</f>
        <v>1368827850</v>
      </c>
      <c r="N13" s="70"/>
      <c r="O13" s="73">
        <f>SUM(O10:O12)</f>
        <v>169318078</v>
      </c>
      <c r="P13" s="70"/>
      <c r="Q13" s="73">
        <f>SUM(Q10:Q12)</f>
        <v>1538145928</v>
      </c>
    </row>
    <row r="14" spans="1:17" ht="22.5" thickTop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6" spans="1:17" ht="24">
      <c r="C16" s="31"/>
      <c r="D16" s="31"/>
      <c r="E16" s="31"/>
      <c r="F16" s="31"/>
      <c r="G16" s="31"/>
      <c r="H16" s="31"/>
      <c r="I16" s="31"/>
      <c r="K16" s="31"/>
      <c r="L16" s="31"/>
      <c r="M16" s="31"/>
      <c r="N16" s="31"/>
      <c r="O16" s="31"/>
      <c r="P16" s="31"/>
      <c r="Q16" s="31"/>
    </row>
    <row r="17" spans="3:17" ht="24">
      <c r="C17" s="31"/>
      <c r="D17" s="31"/>
      <c r="E17" s="31"/>
      <c r="F17" s="31"/>
      <c r="G17" s="31"/>
      <c r="H17" s="31"/>
      <c r="I17" s="31"/>
      <c r="K17" s="31"/>
      <c r="L17" s="31"/>
      <c r="M17" s="31"/>
      <c r="N17" s="31"/>
      <c r="O17" s="31"/>
      <c r="P17" s="31"/>
      <c r="Q17" s="31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25" right="0.25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  <pageSetUpPr fitToPage="1"/>
  </sheetPr>
  <dimension ref="A1:K15"/>
  <sheetViews>
    <sheetView rightToLeft="1" view="pageBreakPreview" zoomScaleNormal="100" zoomScaleSheetLayoutView="100" workbookViewId="0">
      <selection activeCell="C9" sqref="C9"/>
    </sheetView>
  </sheetViews>
  <sheetFormatPr defaultColWidth="9.140625" defaultRowHeight="21.75"/>
  <cols>
    <col min="1" max="1" width="35.85546875" style="55" bestFit="1" customWidth="1"/>
    <col min="2" max="2" width="0.7109375" style="55" customWidth="1"/>
    <col min="3" max="3" width="18.42578125" style="43" customWidth="1"/>
    <col min="4" max="4" width="1.42578125" style="43" customWidth="1"/>
    <col min="5" max="5" width="16.85546875" style="43" customWidth="1"/>
    <col min="6" max="6" width="1.42578125" style="43" customWidth="1"/>
    <col min="7" max="7" width="18" style="43" customWidth="1"/>
    <col min="8" max="8" width="1.28515625" style="55" customWidth="1"/>
    <col min="9" max="9" width="16.42578125" style="55" customWidth="1"/>
    <col min="10" max="10" width="0.7109375" style="55" customWidth="1"/>
    <col min="11" max="11" width="15.42578125" style="55" bestFit="1" customWidth="1"/>
    <col min="12" max="16384" width="9.140625" style="55"/>
  </cols>
  <sheetData>
    <row r="1" spans="1:11" ht="22.5">
      <c r="A1" s="314" t="s">
        <v>87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ht="22.5">
      <c r="A2" s="314" t="s">
        <v>52</v>
      </c>
      <c r="B2" s="314"/>
      <c r="C2" s="314"/>
      <c r="D2" s="314"/>
      <c r="E2" s="314"/>
      <c r="F2" s="314"/>
      <c r="G2" s="314"/>
      <c r="H2" s="314"/>
      <c r="I2" s="314"/>
      <c r="J2" s="314"/>
    </row>
    <row r="3" spans="1:11" ht="22.5">
      <c r="A3" s="314" t="str">
        <f>' سهام'!A3:W3</f>
        <v>برای ماه منتهی به 1403/10/30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1">
      <c r="A4" s="285" t="s">
        <v>27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1" ht="22.5" thickBot="1">
      <c r="A5" s="165"/>
      <c r="B5" s="165"/>
      <c r="C5" s="10"/>
      <c r="D5" s="10"/>
      <c r="E5" s="10"/>
      <c r="F5" s="10"/>
      <c r="G5" s="10"/>
      <c r="H5" s="165"/>
      <c r="I5" s="165"/>
      <c r="J5" s="165"/>
    </row>
    <row r="6" spans="1:11" ht="37.5" customHeight="1" thickBot="1">
      <c r="A6" s="322" t="s">
        <v>17</v>
      </c>
      <c r="B6" s="322"/>
      <c r="C6" s="323" t="str">
        <f>'درآمد سرمایه گذاری در سهام '!C7</f>
        <v>طی دی ماه</v>
      </c>
      <c r="D6" s="323"/>
      <c r="E6" s="323"/>
      <c r="F6" s="323"/>
      <c r="G6" s="322" t="str">
        <f>'درآمد سرمایه گذاری در سهام '!M7</f>
        <v>از ابتدای سال مالی تا پایان دی ماه</v>
      </c>
      <c r="H6" s="322"/>
      <c r="I6" s="322"/>
      <c r="J6" s="322"/>
    </row>
    <row r="7" spans="1:11" ht="37.5">
      <c r="A7" s="207" t="s">
        <v>13</v>
      </c>
      <c r="B7" s="167"/>
      <c r="C7" s="40" t="s">
        <v>14</v>
      </c>
      <c r="D7" s="41"/>
      <c r="E7" s="40" t="s">
        <v>15</v>
      </c>
      <c r="F7" s="42"/>
      <c r="G7" s="40" t="s">
        <v>14</v>
      </c>
      <c r="H7" s="167"/>
      <c r="I7" s="207" t="s">
        <v>15</v>
      </c>
      <c r="J7" s="167"/>
    </row>
    <row r="8" spans="1:11" ht="33" customHeight="1">
      <c r="A8" s="208" t="s">
        <v>148</v>
      </c>
      <c r="B8" s="1"/>
      <c r="C8" s="11">
        <f>VLOOKUP(A8,'سود سپرده بانکی'!$A$7:$L$17,6,0)</f>
        <v>4367860</v>
      </c>
      <c r="D8" s="231"/>
      <c r="E8" s="232">
        <f>C8/$C$11</f>
        <v>0.43410414798416863</v>
      </c>
      <c r="F8" s="231"/>
      <c r="G8" s="11">
        <f>VLOOKUP(A8,'سود سپرده بانکی'!$A$7:$L$17,12,0)</f>
        <v>5725117</v>
      </c>
      <c r="H8" s="1"/>
      <c r="I8" s="209">
        <f>G8/$G$11</f>
        <v>0.25172861475013358</v>
      </c>
      <c r="J8" s="167"/>
      <c r="K8" s="185"/>
    </row>
    <row r="9" spans="1:11" ht="27" customHeight="1">
      <c r="A9" s="208" t="s">
        <v>94</v>
      </c>
      <c r="B9" s="1"/>
      <c r="C9" s="11">
        <f>VLOOKUP(A9,'سود سپرده بانکی'!$A$7:$L$17,6,0)</f>
        <v>72002</v>
      </c>
      <c r="D9" s="231"/>
      <c r="E9" s="232">
        <f t="shared" ref="E9:E10" si="0">C9/$C$11</f>
        <v>7.1559910031814451E-3</v>
      </c>
      <c r="F9" s="231"/>
      <c r="G9" s="11">
        <f>VLOOKUP(A9,'سود سپرده بانکی'!$A$7:$L$17,12,0)</f>
        <v>152343</v>
      </c>
      <c r="H9" s="1"/>
      <c r="I9" s="209">
        <f t="shared" ref="I9:I10" si="1">G9/$G$11</f>
        <v>6.6983945230952658E-3</v>
      </c>
      <c r="J9" s="167"/>
      <c r="K9" s="185"/>
    </row>
    <row r="10" spans="1:11" ht="27" customHeight="1" thickBot="1">
      <c r="A10" s="208" t="s">
        <v>127</v>
      </c>
      <c r="B10" s="1"/>
      <c r="C10" s="11">
        <f>VLOOKUP(A10,'سود سپرده بانکی'!$A$7:$L$17,6,0)</f>
        <v>5621917</v>
      </c>
      <c r="D10" s="231"/>
      <c r="E10" s="232">
        <f t="shared" si="0"/>
        <v>0.55873986101264994</v>
      </c>
      <c r="F10" s="231"/>
      <c r="G10" s="11">
        <f>VLOOKUP(A10,'سود سپرده بانکی'!$A$7:$L$17,12,0)</f>
        <v>16865751</v>
      </c>
      <c r="H10" s="1"/>
      <c r="I10" s="209">
        <f t="shared" si="1"/>
        <v>0.74157299072677119</v>
      </c>
      <c r="J10" s="167"/>
      <c r="K10" s="185"/>
    </row>
    <row r="11" spans="1:11" ht="22.5" thickBot="1">
      <c r="A11" s="193" t="s">
        <v>2</v>
      </c>
      <c r="B11" s="194"/>
      <c r="C11" s="65">
        <f>SUM(C8:C10)</f>
        <v>10061779</v>
      </c>
      <c r="D11" s="231"/>
      <c r="E11" s="68">
        <f>SUM(E8:E10)</f>
        <v>1</v>
      </c>
      <c r="F11" s="231"/>
      <c r="G11" s="65">
        <f>SUM(G8:G10)</f>
        <v>22743211</v>
      </c>
      <c r="H11" s="1"/>
      <c r="I11" s="68">
        <f>SUM(I8:I10)</f>
        <v>1</v>
      </c>
      <c r="J11" s="167"/>
    </row>
    <row r="12" spans="1:11" ht="22.5" thickTop="1">
      <c r="D12" s="1"/>
      <c r="F12" s="1"/>
      <c r="H12" s="1"/>
    </row>
    <row r="14" spans="1:11">
      <c r="C14" s="21"/>
      <c r="G14" s="21"/>
    </row>
    <row r="15" spans="1:11">
      <c r="C15" s="21"/>
      <c r="G15" s="21"/>
    </row>
  </sheetData>
  <autoFilter ref="A7:J7" xr:uid="{00000000-0009-0000-0000-00000B000000}">
    <sortState xmlns:xlrd2="http://schemas.microsoft.com/office/spreadsheetml/2017/richdata2" ref="A8:J15">
      <sortCondition descending="1" ref="G7"/>
    </sortState>
  </autoFilter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روکش</vt:lpstr>
      <vt:lpstr> سهام</vt:lpstr>
      <vt:lpstr>اوراق</vt:lpstr>
      <vt:lpstr>تعدیل اوراق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 </vt:lpstr>
      <vt:lpstr>' سهام'!Print_Area</vt:lpstr>
      <vt:lpstr>اوراق!Print_Area</vt:lpstr>
      <vt:lpstr>'تعدیل اوراق'!Print_Area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 سهام'!Print_Titles</vt:lpstr>
      <vt:lpstr>'درآمد سرمایه گذاری در سهام '!Print_Titles</vt:lpstr>
      <vt:lpstr>'درآمد ناشی از تغییر قیمت 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Sadaf Najiun</cp:lastModifiedBy>
  <cp:lastPrinted>2023-10-25T16:54:14Z</cp:lastPrinted>
  <dcterms:created xsi:type="dcterms:W3CDTF">2017-11-22T14:26:20Z</dcterms:created>
  <dcterms:modified xsi:type="dcterms:W3CDTF">2025-01-29T12:50:04Z</dcterms:modified>
</cp:coreProperties>
</file>