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W:\fund\8 صندوق با تضمین کیان\گزارش ماهانه\1403\07- مهر\"/>
    </mc:Choice>
  </mc:AlternateContent>
  <xr:revisionPtr revIDLastSave="0" documentId="13_ncr:1_{39B25907-A861-4716-9F37-70165AE83DF4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20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درآمد سپرده بانکی" sheetId="7" r:id="rId9"/>
    <sheet name="سایر درآمدها" sheetId="8" r:id="rId10"/>
    <sheet name="درآمد سود سهام" sheetId="18" r:id="rId11"/>
    <sheet name="سود اوراق بهادار" sheetId="13" r:id="rId12"/>
    <sheet name="سود سپرده بانکی" sheetId="21" r:id="rId13"/>
    <sheet name="درآمد ناشی ازفروش" sheetId="15" r:id="rId14"/>
    <sheet name="درآمد ناشی از تغییر قیمت  " sheetId="14" r:id="rId15"/>
  </sheets>
  <definedNames>
    <definedName name="_xlnm._FilterDatabase" localSheetId="1" hidden="1">' سهام'!$A$9:$W$9</definedName>
    <definedName name="_xlnm._FilterDatabase" localSheetId="3" hidden="1">'تعدیل اوراق'!$A$9:$M$9</definedName>
    <definedName name="_xlnm._FilterDatabase" localSheetId="8" hidden="1">'درآمد سپرده بانکی'!$A$7:$J$7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'!$W$10:$X$30</definedName>
    <definedName name="_xlnm._FilterDatabase" localSheetId="14" hidden="1">'درآمد ناشی از تغییر قیمت  '!$A$6:$Q$6</definedName>
    <definedName name="_xlnm._FilterDatabase" localSheetId="13" hidden="1">'درآمد ناشی ازفروش'!$A$6:$Q$6</definedName>
    <definedName name="_xlnm._FilterDatabase" localSheetId="4" hidden="1">سپرده!$A$8:$K$8</definedName>
    <definedName name="_xlnm._FilterDatabase" localSheetId="11" hidden="1">'سود اوراق بهادار'!$A$6:$R$6</definedName>
    <definedName name="_xlnm._FilterDatabase" localSheetId="12" hidden="1">'سود سپرده بانکی'!$A$6:$L$6</definedName>
    <definedName name="a">#REF!</definedName>
    <definedName name="bb">#REF!</definedName>
    <definedName name="_xlnm.Print_Area" localSheetId="1">' سهام'!$A$1:$W$36</definedName>
    <definedName name="_xlnm.Print_Area" localSheetId="2">اوراق!$A$1:$AG$13</definedName>
    <definedName name="_xlnm.Print_Area" localSheetId="3">'تعدیل اوراق'!$A$1:$M$11</definedName>
    <definedName name="_xlnm.Print_Area" localSheetId="8">'درآمد سپرده بانکی'!$A$1:$J$12</definedName>
    <definedName name="_xlnm.Print_Area" localSheetId="7">'درآمد سرمایه گذاری در اوراق بها'!$A$1:$Q$16</definedName>
    <definedName name="_xlnm.Print_Area" localSheetId="6">'درآمد سرمایه گذاری در سهام '!$A$1:$U$47</definedName>
    <definedName name="_xlnm.Print_Area" localSheetId="10">'درآمد سود سهام'!$A$1:$S$28</definedName>
    <definedName name="_xlnm.Print_Area" localSheetId="14">'درآمد ناشی از تغییر قیمت  '!$A$1:$Q$40</definedName>
    <definedName name="_xlnm.Print_Area" localSheetId="13">'درآمد ناشی ازفروش'!$A$1:$Q$52</definedName>
    <definedName name="_xlnm.Print_Area" localSheetId="5">درآمدها!$A$1:$I$13</definedName>
    <definedName name="_xlnm.Print_Area" localSheetId="0">روکش!$A$1:$J$36</definedName>
    <definedName name="_xlnm.Print_Area" localSheetId="9">'سایر درآمدها'!$A$1:$E$12</definedName>
    <definedName name="_xlnm.Print_Area" localSheetId="4">سپرده!$A$1:$K$14</definedName>
    <definedName name="_xlnm.Print_Area" localSheetId="11">'سود اوراق بهادار'!$A$1:$R$12</definedName>
    <definedName name="_xlnm.Print_Area" localSheetId="12">'سود سپرده بانکی'!$A$1:$L$12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4">'درآمد ناشی از تغییر قیمت  '!$5:$6</definedName>
    <definedName name="_xlnm.Print_Titles" localSheetId="13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1" l="1"/>
  <c r="O35" i="14"/>
  <c r="G35" i="14"/>
  <c r="Q47" i="15"/>
  <c r="O47" i="15"/>
  <c r="M47" i="15"/>
  <c r="G4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7" i="15"/>
  <c r="F8" i="21"/>
  <c r="F9" i="21"/>
  <c r="F7" i="21"/>
  <c r="L8" i="21"/>
  <c r="L9" i="21"/>
  <c r="L7" i="21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8" i="18"/>
  <c r="Q28" i="18"/>
  <c r="O28" i="18"/>
  <c r="K28" i="18"/>
  <c r="I28" i="18"/>
  <c r="E11" i="8"/>
  <c r="C11" i="8"/>
  <c r="K15" i="6"/>
  <c r="C15" i="6"/>
  <c r="K10" i="2"/>
  <c r="K11" i="2"/>
  <c r="K9" i="2"/>
  <c r="K12" i="2"/>
  <c r="I12" i="2"/>
  <c r="G12" i="2"/>
  <c r="E12" i="2"/>
  <c r="C12" i="2"/>
  <c r="AG10" i="17"/>
  <c r="AG12" i="17" s="1"/>
  <c r="AG11" i="17"/>
  <c r="AG9" i="17"/>
  <c r="AE12" i="17"/>
  <c r="AC12" i="17"/>
  <c r="W12" i="17"/>
  <c r="T12" i="17"/>
  <c r="Q12" i="17"/>
  <c r="O12" i="17"/>
  <c r="W11" i="1"/>
  <c r="W12" i="1"/>
  <c r="W13" i="1"/>
  <c r="W35" i="1" s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10" i="1"/>
  <c r="U35" i="1"/>
  <c r="S35" i="1"/>
  <c r="M35" i="1"/>
  <c r="J35" i="1"/>
  <c r="G35" i="1"/>
  <c r="E35" i="1"/>
  <c r="C5" i="8"/>
  <c r="S28" i="18" l="1"/>
  <c r="M28" i="18"/>
  <c r="E30" i="15" l="1"/>
  <c r="I30" i="15" s="1"/>
  <c r="E31" i="15"/>
  <c r="I31" i="15" s="1"/>
  <c r="E32" i="15"/>
  <c r="I32" i="15" s="1"/>
  <c r="E33" i="15"/>
  <c r="I33" i="15" s="1"/>
  <c r="E34" i="15"/>
  <c r="I34" i="15" s="1"/>
  <c r="E35" i="15"/>
  <c r="I35" i="15" s="1"/>
  <c r="E36" i="15"/>
  <c r="I36" i="15" s="1"/>
  <c r="E37" i="15"/>
  <c r="I37" i="15" s="1"/>
  <c r="E38" i="15"/>
  <c r="I38" i="15" s="1"/>
  <c r="C43" i="15"/>
  <c r="C44" i="15"/>
  <c r="C45" i="15"/>
  <c r="C46" i="15"/>
  <c r="C42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7" i="15"/>
  <c r="B10" i="21" l="1"/>
  <c r="O36" i="5" l="1"/>
  <c r="O38" i="5"/>
  <c r="O39" i="5"/>
  <c r="O40" i="5"/>
  <c r="M35" i="5"/>
  <c r="M36" i="5"/>
  <c r="M39" i="5"/>
  <c r="M40" i="5"/>
  <c r="E36" i="5"/>
  <c r="E38" i="5"/>
  <c r="E39" i="5"/>
  <c r="E40" i="5"/>
  <c r="C36" i="5"/>
  <c r="C39" i="5"/>
  <c r="C40" i="5"/>
  <c r="E12" i="6"/>
  <c r="E13" i="6"/>
  <c r="M27" i="14"/>
  <c r="M28" i="14"/>
  <c r="M29" i="14"/>
  <c r="Q29" i="14" s="1"/>
  <c r="K27" i="14"/>
  <c r="K28" i="14"/>
  <c r="K29" i="14"/>
  <c r="E27" i="14"/>
  <c r="E28" i="14"/>
  <c r="E29" i="14"/>
  <c r="E30" i="14"/>
  <c r="E31" i="14"/>
  <c r="C27" i="14"/>
  <c r="C28" i="14"/>
  <c r="C29" i="14"/>
  <c r="C30" i="14"/>
  <c r="C44" i="5"/>
  <c r="M26" i="14"/>
  <c r="Q26" i="14" s="1"/>
  <c r="M30" i="14"/>
  <c r="K26" i="14"/>
  <c r="K30" i="14"/>
  <c r="E26" i="14"/>
  <c r="C26" i="14"/>
  <c r="Q40" i="5"/>
  <c r="C42" i="5"/>
  <c r="M42" i="5"/>
  <c r="M6" i="17"/>
  <c r="M44" i="5"/>
  <c r="M45" i="5"/>
  <c r="M31" i="14"/>
  <c r="Q31" i="14" s="1"/>
  <c r="K31" i="14"/>
  <c r="C31" i="14"/>
  <c r="C7" i="14"/>
  <c r="I26" i="14" l="1"/>
  <c r="I27" i="14"/>
  <c r="I30" i="14"/>
  <c r="S40" i="5"/>
  <c r="U40" i="5" s="1"/>
  <c r="I31" i="14"/>
  <c r="E44" i="5" s="1"/>
  <c r="I29" i="14"/>
  <c r="E41" i="5" s="1"/>
  <c r="I28" i="14"/>
  <c r="E37" i="5" s="1"/>
  <c r="Q28" i="14"/>
  <c r="O37" i="5" s="1"/>
  <c r="Q27" i="14"/>
  <c r="O35" i="5" s="1"/>
  <c r="O43" i="5"/>
  <c r="Q30" i="14"/>
  <c r="O42" i="5" s="1"/>
  <c r="O41" i="5"/>
  <c r="E43" i="5"/>
  <c r="E42" i="5"/>
  <c r="O45" i="5"/>
  <c r="O44" i="5"/>
  <c r="M33" i="14"/>
  <c r="Q33" i="14" s="1"/>
  <c r="M34" i="14"/>
  <c r="Q34" i="14" s="1"/>
  <c r="M32" i="14"/>
  <c r="Q32" i="14" s="1"/>
  <c r="E32" i="14"/>
  <c r="M8" i="14"/>
  <c r="Q8" i="14" s="1"/>
  <c r="M9" i="14"/>
  <c r="Q9" i="14" s="1"/>
  <c r="M10" i="14"/>
  <c r="Q10" i="14" s="1"/>
  <c r="M11" i="14"/>
  <c r="Q11" i="14" s="1"/>
  <c r="M12" i="14"/>
  <c r="Q12" i="14" s="1"/>
  <c r="M13" i="14"/>
  <c r="Q13" i="14" s="1"/>
  <c r="M14" i="14"/>
  <c r="Q14" i="14" s="1"/>
  <c r="M15" i="14"/>
  <c r="Q15" i="14" s="1"/>
  <c r="M16" i="14"/>
  <c r="Q16" i="14" s="1"/>
  <c r="M17" i="14"/>
  <c r="Q17" i="14" s="1"/>
  <c r="M18" i="14"/>
  <c r="Q18" i="14" s="1"/>
  <c r="M19" i="14"/>
  <c r="Q19" i="14" s="1"/>
  <c r="M20" i="14"/>
  <c r="Q20" i="14" s="1"/>
  <c r="M21" i="14"/>
  <c r="Q21" i="14" s="1"/>
  <c r="M22" i="14"/>
  <c r="Q22" i="14" s="1"/>
  <c r="M23" i="14"/>
  <c r="Q23" i="14" s="1"/>
  <c r="M24" i="14"/>
  <c r="Q24" i="14" s="1"/>
  <c r="M25" i="14"/>
  <c r="Q25" i="14" s="1"/>
  <c r="M7" i="14"/>
  <c r="E7" i="14"/>
  <c r="K34" i="14"/>
  <c r="K33" i="14"/>
  <c r="K32" i="14"/>
  <c r="C32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7" i="14"/>
  <c r="E33" i="14"/>
  <c r="E34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C33" i="14"/>
  <c r="C34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E44" i="15"/>
  <c r="I44" i="15" s="1"/>
  <c r="E45" i="15"/>
  <c r="I45" i="15" s="1"/>
  <c r="E46" i="15"/>
  <c r="I46" i="15" s="1"/>
  <c r="E43" i="15"/>
  <c r="I43" i="15" s="1"/>
  <c r="E8" i="15"/>
  <c r="I8" i="15" s="1"/>
  <c r="E9" i="15"/>
  <c r="I9" i="15" s="1"/>
  <c r="E10" i="15"/>
  <c r="I10" i="15" s="1"/>
  <c r="E11" i="15"/>
  <c r="I11" i="15" s="1"/>
  <c r="E12" i="15"/>
  <c r="I12" i="15" s="1"/>
  <c r="E13" i="15"/>
  <c r="I13" i="15" s="1"/>
  <c r="E14" i="15"/>
  <c r="I14" i="15" s="1"/>
  <c r="E15" i="15"/>
  <c r="I15" i="15" s="1"/>
  <c r="E16" i="15"/>
  <c r="I16" i="15" s="1"/>
  <c r="E17" i="15"/>
  <c r="I17" i="15" s="1"/>
  <c r="E18" i="15"/>
  <c r="I18" i="15" s="1"/>
  <c r="E19" i="15"/>
  <c r="I19" i="15" s="1"/>
  <c r="E20" i="15"/>
  <c r="I20" i="15" s="1"/>
  <c r="E21" i="15"/>
  <c r="I21" i="15" s="1"/>
  <c r="E22" i="15"/>
  <c r="I22" i="15" s="1"/>
  <c r="E23" i="15"/>
  <c r="I23" i="15" s="1"/>
  <c r="E24" i="15"/>
  <c r="I24" i="15" s="1"/>
  <c r="E25" i="15"/>
  <c r="I25" i="15" s="1"/>
  <c r="E26" i="15"/>
  <c r="I26" i="15" s="1"/>
  <c r="E27" i="15"/>
  <c r="I27" i="15" s="1"/>
  <c r="E28" i="15"/>
  <c r="I28" i="15" s="1"/>
  <c r="E29" i="15"/>
  <c r="I29" i="15" s="1"/>
  <c r="E39" i="15"/>
  <c r="I39" i="15" s="1"/>
  <c r="E40" i="15"/>
  <c r="I40" i="15" s="1"/>
  <c r="E41" i="15"/>
  <c r="I41" i="15" s="1"/>
  <c r="E42" i="15"/>
  <c r="I42" i="15" s="1"/>
  <c r="E7" i="15"/>
  <c r="I34" i="14" l="1"/>
  <c r="I32" i="14"/>
  <c r="I33" i="14"/>
  <c r="I22" i="14"/>
  <c r="I18" i="14"/>
  <c r="I10" i="14"/>
  <c r="I17" i="14"/>
  <c r="I13" i="14"/>
  <c r="I9" i="14"/>
  <c r="I24" i="14"/>
  <c r="I20" i="14"/>
  <c r="I16" i="14"/>
  <c r="I12" i="14"/>
  <c r="I8" i="14"/>
  <c r="I14" i="14"/>
  <c r="I25" i="14"/>
  <c r="I21" i="14"/>
  <c r="I23" i="14"/>
  <c r="I19" i="14"/>
  <c r="I15" i="14"/>
  <c r="I11" i="14"/>
  <c r="E47" i="15"/>
  <c r="I7" i="15"/>
  <c r="I47" i="15" s="1"/>
  <c r="Q7" i="14"/>
  <c r="Q35" i="14" s="1"/>
  <c r="M35" i="14"/>
  <c r="I7" i="14"/>
  <c r="I35" i="14" s="1"/>
  <c r="E35" i="14"/>
  <c r="C38" i="5"/>
  <c r="C43" i="5" l="1"/>
  <c r="C41" i="5"/>
  <c r="C37" i="5"/>
  <c r="Y6" i="17" l="1"/>
  <c r="C8" i="7"/>
  <c r="C9" i="7"/>
  <c r="C10" i="7"/>
  <c r="Q41" i="5"/>
  <c r="G41" i="5"/>
  <c r="I41" i="5" s="1"/>
  <c r="K41" i="5" s="1"/>
  <c r="M14" i="5"/>
  <c r="M38" i="5"/>
  <c r="M13" i="5"/>
  <c r="M41" i="5"/>
  <c r="M37" i="5"/>
  <c r="M11" i="5"/>
  <c r="S41" i="5" l="1"/>
  <c r="U41" i="5" s="1"/>
  <c r="C11" i="7"/>
  <c r="E9" i="7" s="1"/>
  <c r="E8" i="7" l="1"/>
  <c r="E10" i="7"/>
  <c r="C10" i="6"/>
  <c r="A3" i="14"/>
  <c r="A3" i="15"/>
  <c r="A3" i="21"/>
  <c r="A3" i="13"/>
  <c r="A3" i="18"/>
  <c r="E11" i="7" l="1"/>
  <c r="O34" i="5"/>
  <c r="E34" i="5"/>
  <c r="E45" i="5"/>
  <c r="C11" i="5"/>
  <c r="C12" i="5"/>
  <c r="C16" i="5"/>
  <c r="G12" i="5"/>
  <c r="G39" i="5"/>
  <c r="I39" i="5" s="1"/>
  <c r="K39" i="5" s="1"/>
  <c r="G40" i="5"/>
  <c r="I40" i="5" s="1"/>
  <c r="K40" i="5" s="1"/>
  <c r="G14" i="5"/>
  <c r="G16" i="5"/>
  <c r="G37" i="5"/>
  <c r="I37" i="5" s="1"/>
  <c r="K37" i="5" s="1"/>
  <c r="G42" i="5"/>
  <c r="I42" i="5" s="1"/>
  <c r="K42" i="5" s="1"/>
  <c r="Q17" i="5"/>
  <c r="Q19" i="5"/>
  <c r="Q12" i="5"/>
  <c r="Q39" i="5"/>
  <c r="S39" i="5" s="1"/>
  <c r="U39" i="5" s="1"/>
  <c r="Q36" i="5"/>
  <c r="S36" i="5" s="1"/>
  <c r="U36" i="5" s="1"/>
  <c r="Q14" i="5"/>
  <c r="Q16" i="5"/>
  <c r="Q37" i="5"/>
  <c r="S37" i="5" s="1"/>
  <c r="U37" i="5" s="1"/>
  <c r="Q42" i="5"/>
  <c r="S42" i="5" s="1"/>
  <c r="U42" i="5" s="1"/>
  <c r="C13" i="5"/>
  <c r="C15" i="5"/>
  <c r="Q32" i="5" l="1"/>
  <c r="Q38" i="5"/>
  <c r="S38" i="5" s="1"/>
  <c r="U38" i="5" s="1"/>
  <c r="Q29" i="5"/>
  <c r="Q35" i="5"/>
  <c r="S35" i="5" s="1"/>
  <c r="U35" i="5" s="1"/>
  <c r="Q28" i="5"/>
  <c r="Q23" i="5"/>
  <c r="G29" i="5"/>
  <c r="G25" i="5"/>
  <c r="G32" i="5"/>
  <c r="G38" i="5"/>
  <c r="I38" i="5" s="1"/>
  <c r="K38" i="5" s="1"/>
  <c r="G36" i="5"/>
  <c r="I36" i="5" s="1"/>
  <c r="K36" i="5" s="1"/>
  <c r="G11" i="6"/>
  <c r="Q25" i="5"/>
  <c r="Q22" i="5"/>
  <c r="Q30" i="5"/>
  <c r="Q27" i="5"/>
  <c r="Q20" i="5"/>
  <c r="Q26" i="5"/>
  <c r="Q45" i="5"/>
  <c r="S45" i="5" s="1"/>
  <c r="U45" i="5" s="1"/>
  <c r="Q44" i="5"/>
  <c r="S44" i="5" s="1"/>
  <c r="U44" i="5" s="1"/>
  <c r="Q33" i="5"/>
  <c r="Q21" i="5"/>
  <c r="Q31" i="5"/>
  <c r="Q34" i="5"/>
  <c r="Q24" i="5"/>
  <c r="G10" i="6"/>
  <c r="G14" i="6"/>
  <c r="G22" i="5"/>
  <c r="G20" i="5"/>
  <c r="G24" i="5"/>
  <c r="G21" i="5"/>
  <c r="G31" i="5"/>
  <c r="G27" i="5"/>
  <c r="G33" i="5"/>
  <c r="G35" i="5"/>
  <c r="G23" i="5"/>
  <c r="G18" i="5"/>
  <c r="G34" i="5"/>
  <c r="G12" i="6"/>
  <c r="I12" i="6" s="1"/>
  <c r="G26" i="5"/>
  <c r="Q18" i="5"/>
  <c r="G45" i="5"/>
  <c r="G44" i="5"/>
  <c r="I44" i="5" s="1"/>
  <c r="K44" i="5" s="1"/>
  <c r="G11" i="5"/>
  <c r="Q11" i="5"/>
  <c r="Q13" i="5"/>
  <c r="Q43" i="5"/>
  <c r="G13" i="5"/>
  <c r="G43" i="5"/>
  <c r="I43" i="5" s="1"/>
  <c r="K43" i="5" s="1"/>
  <c r="C14" i="5"/>
  <c r="K5" i="14"/>
  <c r="K5" i="15"/>
  <c r="H5" i="21"/>
  <c r="N6" i="13"/>
  <c r="E5" i="8"/>
  <c r="G6" i="7"/>
  <c r="C5" i="14"/>
  <c r="C5" i="15"/>
  <c r="B5" i="21"/>
  <c r="H6" i="13"/>
  <c r="C6" i="6"/>
  <c r="K6" i="6"/>
  <c r="C6" i="7"/>
  <c r="O14" i="6"/>
  <c r="O13" i="6"/>
  <c r="O12" i="6"/>
  <c r="O11" i="6"/>
  <c r="O10" i="6"/>
  <c r="K11" i="6"/>
  <c r="K12" i="6"/>
  <c r="K13" i="6"/>
  <c r="K14" i="6"/>
  <c r="K10" i="6"/>
  <c r="C11" i="6"/>
  <c r="C12" i="6"/>
  <c r="C13" i="6"/>
  <c r="C14" i="6"/>
  <c r="M19" i="5"/>
  <c r="M22" i="5"/>
  <c r="M23" i="5"/>
  <c r="M25" i="5"/>
  <c r="M26" i="5"/>
  <c r="M28" i="5"/>
  <c r="M29" i="5"/>
  <c r="M30" i="5"/>
  <c r="M33" i="5"/>
  <c r="M34" i="5"/>
  <c r="M12" i="5"/>
  <c r="M16" i="5"/>
  <c r="M17" i="5"/>
  <c r="C28" i="5"/>
  <c r="C29" i="5"/>
  <c r="C30" i="5"/>
  <c r="C31" i="5"/>
  <c r="C32" i="5"/>
  <c r="C33" i="5"/>
  <c r="C34" i="5"/>
  <c r="I34" i="5" s="1"/>
  <c r="K34" i="5" s="1"/>
  <c r="C35" i="5"/>
  <c r="C45" i="5"/>
  <c r="C22" i="5"/>
  <c r="C23" i="5"/>
  <c r="C24" i="5"/>
  <c r="C25" i="5"/>
  <c r="C26" i="5"/>
  <c r="C27" i="5"/>
  <c r="C17" i="5"/>
  <c r="C18" i="5"/>
  <c r="C19" i="5"/>
  <c r="C20" i="5"/>
  <c r="C21" i="5"/>
  <c r="Q9" i="13"/>
  <c r="P9" i="13"/>
  <c r="N9" i="13"/>
  <c r="J9" i="13"/>
  <c r="H9" i="13"/>
  <c r="R8" i="13"/>
  <c r="R9" i="13" s="1"/>
  <c r="L8" i="13"/>
  <c r="L9" i="13" s="1"/>
  <c r="K10" i="21"/>
  <c r="J10" i="21"/>
  <c r="H10" i="21"/>
  <c r="D10" i="21"/>
  <c r="G9" i="7"/>
  <c r="G8" i="7"/>
  <c r="S34" i="5" l="1"/>
  <c r="U34" i="5" s="1"/>
  <c r="I45" i="5"/>
  <c r="K45" i="5" s="1"/>
  <c r="O15" i="6"/>
  <c r="C46" i="5"/>
  <c r="G13" i="6"/>
  <c r="I13" i="6" s="1"/>
  <c r="G30" i="5"/>
  <c r="G28" i="5"/>
  <c r="G10" i="7"/>
  <c r="F10" i="21"/>
  <c r="L10" i="21"/>
  <c r="M20" i="5"/>
  <c r="M27" i="5"/>
  <c r="K10" i="20"/>
  <c r="K11" i="20" s="1"/>
  <c r="E8" i="11" l="1"/>
  <c r="G15" i="6"/>
  <c r="G11" i="7"/>
  <c r="M31" i="5"/>
  <c r="M32" i="5"/>
  <c r="M43" i="5"/>
  <c r="S43" i="5" s="1"/>
  <c r="U43" i="5" s="1"/>
  <c r="M15" i="5"/>
  <c r="M21" i="5"/>
  <c r="Q15" i="5"/>
  <c r="Q46" i="5" s="1"/>
  <c r="A3" i="20"/>
  <c r="A3" i="2"/>
  <c r="E9" i="11" l="1"/>
  <c r="I8" i="7"/>
  <c r="I9" i="7"/>
  <c r="I10" i="7"/>
  <c r="O33" i="5"/>
  <c r="S33" i="5" s="1"/>
  <c r="U33" i="5" s="1"/>
  <c r="M11" i="6"/>
  <c r="Q11" i="6" s="1"/>
  <c r="M13" i="6"/>
  <c r="Q13" i="6" s="1"/>
  <c r="O15" i="5"/>
  <c r="S15" i="5" s="1"/>
  <c r="U15" i="5" s="1"/>
  <c r="E12" i="5"/>
  <c r="I12" i="5" s="1"/>
  <c r="K12" i="5" s="1"/>
  <c r="E11" i="5"/>
  <c r="G19" i="5"/>
  <c r="I11" i="5" l="1"/>
  <c r="K11" i="5" s="1"/>
  <c r="I11" i="7"/>
  <c r="O22" i="5"/>
  <c r="S22" i="5" s="1"/>
  <c r="U22" i="5" s="1"/>
  <c r="O13" i="5"/>
  <c r="S13" i="5" s="1"/>
  <c r="U13" i="5" s="1"/>
  <c r="O12" i="5"/>
  <c r="S12" i="5" s="1"/>
  <c r="U12" i="5" s="1"/>
  <c r="O14" i="5"/>
  <c r="S14" i="5" s="1"/>
  <c r="U14" i="5" s="1"/>
  <c r="G17" i="5"/>
  <c r="E14" i="5"/>
  <c r="I14" i="5" s="1"/>
  <c r="K14" i="5" s="1"/>
  <c r="O23" i="5"/>
  <c r="S23" i="5" s="1"/>
  <c r="U23" i="5" s="1"/>
  <c r="O20" i="5"/>
  <c r="S20" i="5" s="1"/>
  <c r="U20" i="5" s="1"/>
  <c r="O19" i="5"/>
  <c r="S19" i="5" s="1"/>
  <c r="U19" i="5" s="1"/>
  <c r="O24" i="5"/>
  <c r="M14" i="6"/>
  <c r="Q14" i="6" s="1"/>
  <c r="M10" i="6"/>
  <c r="O21" i="5"/>
  <c r="S21" i="5" s="1"/>
  <c r="U21" i="5" s="1"/>
  <c r="M12" i="6"/>
  <c r="Q12" i="6" s="1"/>
  <c r="E13" i="5"/>
  <c r="I13" i="5" s="1"/>
  <c r="K13" i="5" s="1"/>
  <c r="O11" i="5"/>
  <c r="S11" i="5" s="1"/>
  <c r="U11" i="5" s="1"/>
  <c r="G15" i="5"/>
  <c r="E11" i="6"/>
  <c r="I11" i="6" s="1"/>
  <c r="E15" i="5"/>
  <c r="E10" i="6"/>
  <c r="E14" i="6"/>
  <c r="I14" i="6" s="1"/>
  <c r="E33" i="5"/>
  <c r="I33" i="5" s="1"/>
  <c r="K33" i="5" s="1"/>
  <c r="O26" i="5"/>
  <c r="S26" i="5" s="1"/>
  <c r="U26" i="5" s="1"/>
  <c r="I15" i="5" l="1"/>
  <c r="K15" i="5" s="1"/>
  <c r="E15" i="6"/>
  <c r="I10" i="6"/>
  <c r="I15" i="6" s="1"/>
  <c r="M15" i="6"/>
  <c r="Q10" i="6"/>
  <c r="Q15" i="6" s="1"/>
  <c r="G46" i="5"/>
  <c r="E22" i="5"/>
  <c r="I22" i="5" s="1"/>
  <c r="K22" i="5" s="1"/>
  <c r="E16" i="5"/>
  <c r="I16" i="5" s="1"/>
  <c r="K16" i="5" s="1"/>
  <c r="E30" i="5"/>
  <c r="I30" i="5" s="1"/>
  <c r="K30" i="5" s="1"/>
  <c r="O17" i="5"/>
  <c r="S17" i="5" s="1"/>
  <c r="U17" i="5" s="1"/>
  <c r="O16" i="5"/>
  <c r="S16" i="5" s="1"/>
  <c r="U16" i="5" s="1"/>
  <c r="O32" i="5"/>
  <c r="S32" i="5" s="1"/>
  <c r="U32" i="5" s="1"/>
  <c r="O30" i="5"/>
  <c r="S30" i="5" s="1"/>
  <c r="U30" i="5" s="1"/>
  <c r="O27" i="5"/>
  <c r="S27" i="5" s="1"/>
  <c r="U27" i="5" s="1"/>
  <c r="O25" i="5"/>
  <c r="S25" i="5" s="1"/>
  <c r="U25" i="5" s="1"/>
  <c r="E17" i="5"/>
  <c r="I17" i="5" s="1"/>
  <c r="K17" i="5" s="1"/>
  <c r="E31" i="5"/>
  <c r="I31" i="5" s="1"/>
  <c r="K31" i="5" s="1"/>
  <c r="E32" i="5"/>
  <c r="I32" i="5" s="1"/>
  <c r="K32" i="5" s="1"/>
  <c r="E28" i="5"/>
  <c r="I28" i="5" s="1"/>
  <c r="K28" i="5" s="1"/>
  <c r="E25" i="5"/>
  <c r="I25" i="5" s="1"/>
  <c r="K25" i="5" s="1"/>
  <c r="E26" i="5"/>
  <c r="I26" i="5" s="1"/>
  <c r="K26" i="5" s="1"/>
  <c r="O31" i="5"/>
  <c r="S31" i="5" s="1"/>
  <c r="U31" i="5" s="1"/>
  <c r="O29" i="5"/>
  <c r="S29" i="5" s="1"/>
  <c r="U29" i="5" s="1"/>
  <c r="E24" i="5"/>
  <c r="I24" i="5" s="1"/>
  <c r="K24" i="5" s="1"/>
  <c r="E21" i="5"/>
  <c r="I21" i="5" s="1"/>
  <c r="K21" i="5" s="1"/>
  <c r="E19" i="5"/>
  <c r="I19" i="5" s="1"/>
  <c r="K19" i="5" s="1"/>
  <c r="O28" i="5"/>
  <c r="S28" i="5" s="1"/>
  <c r="U28" i="5" s="1"/>
  <c r="E20" i="5"/>
  <c r="I20" i="5" s="1"/>
  <c r="K20" i="5" s="1"/>
  <c r="E29" i="5"/>
  <c r="I29" i="5" s="1"/>
  <c r="K29" i="5" s="1"/>
  <c r="E23" i="5"/>
  <c r="I23" i="5" s="1"/>
  <c r="K23" i="5" s="1"/>
  <c r="E27" i="5"/>
  <c r="I27" i="5" s="1"/>
  <c r="K27" i="5" s="1"/>
  <c r="E35" i="5"/>
  <c r="I35" i="5" s="1"/>
  <c r="K35" i="5" s="1"/>
  <c r="O18" i="5"/>
  <c r="E18" i="5"/>
  <c r="I18" i="5" s="1"/>
  <c r="K18" i="5" s="1"/>
  <c r="E46" i="5" l="1"/>
  <c r="O46" i="5"/>
  <c r="I8" i="11"/>
  <c r="I46" i="5" l="1"/>
  <c r="K46" i="5" l="1"/>
  <c r="C6" i="2"/>
  <c r="M18" i="5"/>
  <c r="S18" i="5" s="1"/>
  <c r="U18" i="5" s="1"/>
  <c r="M24" i="5" l="1"/>
  <c r="S24" i="5" s="1"/>
  <c r="U24" i="5" s="1"/>
  <c r="O6" i="18"/>
  <c r="C8" i="20"/>
  <c r="I6" i="2"/>
  <c r="E5" i="11"/>
  <c r="M46" i="5" l="1"/>
  <c r="U46" i="5"/>
  <c r="S46" i="5"/>
  <c r="E7" i="11" s="1"/>
  <c r="I10" i="11"/>
  <c r="I9" i="11" l="1"/>
  <c r="A3" i="17"/>
  <c r="I7" i="11" l="1"/>
  <c r="I11" i="11" s="1"/>
  <c r="E11" i="11"/>
  <c r="D15" i="6"/>
  <c r="F15" i="6"/>
  <c r="H15" i="6"/>
  <c r="J15" i="6"/>
  <c r="L15" i="6"/>
  <c r="N15" i="6"/>
  <c r="P15" i="6"/>
  <c r="G10" i="11" l="1"/>
  <c r="G8" i="11"/>
  <c r="G9" i="11"/>
  <c r="G7" i="11"/>
  <c r="A3" i="8"/>
  <c r="A3" i="7"/>
  <c r="A3" i="6"/>
  <c r="A3" i="5"/>
  <c r="G11" i="11" l="1"/>
  <c r="A3" i="11"/>
</calcChain>
</file>

<file path=xl/sharedStrings.xml><?xml version="1.0" encoding="utf-8"?>
<sst xmlns="http://schemas.openxmlformats.org/spreadsheetml/2006/main" count="422" uniqueCount="177">
  <si>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</si>
  <si>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</si>
  <si>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</si>
  <si>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</si>
  <si>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</si>
  <si>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</si>
  <si>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</si>
  <si>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</si>
  <si>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</si>
  <si>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</si>
  <si>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</si>
  <si>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</si>
  <si>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</si>
  <si>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</si>
  <si>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</si>
  <si>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</si>
  <si>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</si>
  <si>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</si>
  <si>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</si>
  <si>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</si>
  <si>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</si>
  <si>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</si>
  <si>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</si>
  <si>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</si>
  <si>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</si>
  <si>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</si>
  <si>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</si>
  <si>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</si>
  <si>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</si>
  <si>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</si>
  <si>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</si>
  <si>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</si>
  <si>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</si>
  <si>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</si>
  <si>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</si>
  <si>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</si>
  <si>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</si>
  <si>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</si>
  <si>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</si>
  <si>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</si>
  <si>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</si>
  <si>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</si>
  <si>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</si>
  <si>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</si>
  <si>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</si>
  <si>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</si>
  <si>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</si>
  <si>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</si>
  <si>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</si>
  <si>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</si>
  <si>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</si>
  <si>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</si>
  <si>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</si>
  <si>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</si>
  <si>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</si>
  <si>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</si>
  <si>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</si>
  <si>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</si>
  <si>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</si>
  <si>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</si>
  <si>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</si>
  <si>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</si>
  <si>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</si>
  <si>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</si>
  <si>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</si>
  <si>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</si>
  <si>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</si>
  <si>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</si>
  <si>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</si>
  <si>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</si>
  <si>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</si>
  <si>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</si>
  <si>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</si>
  <si>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</si>
  <si>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</si>
  <si>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</si>
  <si>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</si>
  <si>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</si>
  <si>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</si>
  <si>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</si>
  <si>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</si>
  <si>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</si>
  <si>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</si>
  <si>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دارایی‌ها</t>
  </si>
  <si>
    <t>درآمدها</t>
  </si>
  <si>
    <t>-</t>
  </si>
  <si>
    <t>صندوق سرمایه گذاری با تضمین اصل سرمایه کیان</t>
  </si>
  <si>
    <t>فولاد کاوه جنوب کیش (کاوه)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</si>
  <si>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</si>
  <si>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</si>
  <si>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</si>
  <si>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</si>
  <si>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</si>
  <si>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</si>
  <si>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</si>
  <si>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پاسارگاد209.8100.15644767.1 -کوتاه مدت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</si>
  <si>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</si>
  <si>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</si>
  <si>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سیمان صوفیان (سصوفی)</t>
  </si>
  <si>
    <t>صبا فولاد خلیج فارس (فصبا)</t>
  </si>
  <si>
    <t>بین المللی توسعه صنایع و معادن غدیر (وکغدیر)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</si>
  <si>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</si>
  <si>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</si>
  <si>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</si>
  <si>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</si>
  <si>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</si>
  <si>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مولد نیروگاهی تجارت فارس (بمولد)</t>
  </si>
  <si>
    <t>اسناد خزانه-م1بودجه01-040326 (اخزا101)</t>
  </si>
  <si>
    <t>بلی</t>
  </si>
  <si>
    <t>آهن و فولاد غدیر ایرانیان (فغدیر)</t>
  </si>
  <si>
    <t>گروه مالی صبا تامین (صبا)</t>
  </si>
  <si>
    <t>اسناد خزانه-م3بودجه01-040520 (اخزا103)</t>
  </si>
  <si>
    <t>اسنادخزانه-م7بودجه01-040714 (اخزا107)</t>
  </si>
  <si>
    <t>اسنادخزانه-م1بودجه02-050325 (اخزا201)</t>
  </si>
  <si>
    <t>1401/05/18</t>
  </si>
  <si>
    <t>1402/06/19</t>
  </si>
  <si>
    <t>1404/05/20</t>
  </si>
  <si>
    <t>1405/03/25</t>
  </si>
  <si>
    <t>تعدیل کارمزد کارگزاری</t>
  </si>
  <si>
    <t>A7,اوراق!$A$9:$W$12,22,0)</t>
  </si>
  <si>
    <t>پالایش نفت تبریز (شبریز)</t>
  </si>
  <si>
    <t>آنتی بیوتیک سازی ایران (بیوتیک)</t>
  </si>
  <si>
    <t>سرمایه گذاری و توسعه صنایع سیمان (سیدکو)</t>
  </si>
  <si>
    <t>سر. تامین اجتماعی (شستا)</t>
  </si>
  <si>
    <t>نشاسته و گلوکز آردینه (آردینه)</t>
  </si>
  <si>
    <t>پارس فنر (فنر)</t>
  </si>
  <si>
    <t>اسنادخزانه-م4بودجه01-040917 (اخزا104)</t>
  </si>
  <si>
    <t>1401/12/08</t>
  </si>
  <si>
    <t>1404/09/17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</si>
  <si>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</si>
  <si>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</si>
  <si>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</si>
  <si>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‫تعداد</t>
  </si>
  <si>
    <t>‫قیمت
آخرین معامله</t>
  </si>
  <si>
    <t>‫قیمت تعدیل شده</t>
  </si>
  <si>
    <t>‫درصد تعدیل</t>
  </si>
  <si>
    <t>‫خالص ارزش فروش تعدیل شده</t>
  </si>
  <si>
    <t>‫دلیل تعدیل</t>
  </si>
  <si>
    <t>1403/03/31</t>
  </si>
  <si>
    <t>کاشی سینا (کساوه)</t>
  </si>
  <si>
    <t>تولیدی و صنعتی گوهرفام (شفام)</t>
  </si>
  <si>
    <t>پاسارگاد 209.307.15644767.2</t>
  </si>
  <si>
    <t>1402/12/17</t>
  </si>
  <si>
    <t>1403/02/22</t>
  </si>
  <si>
    <t>1403/02/24</t>
  </si>
  <si>
    <t>1403/03/01</t>
  </si>
  <si>
    <t>1403/03/09</t>
  </si>
  <si>
    <t>1403/03/13</t>
  </si>
  <si>
    <t>1403/03/23</t>
  </si>
  <si>
    <t>1403/03/26</t>
  </si>
  <si>
    <t>مبین انرژی خلیج فارس (حق تقدم) (مبینح)</t>
  </si>
  <si>
    <t>د- سود اوراق بهادار با درآمد ثابت</t>
  </si>
  <si>
    <t>کوتاه مدت خاورمیانه 1005/10/810/707074934</t>
  </si>
  <si>
    <t>نرخ سود</t>
  </si>
  <si>
    <t>1391/03/16</t>
  </si>
  <si>
    <t>1403/04/11</t>
  </si>
  <si>
    <t>1403/04/13</t>
  </si>
  <si>
    <t>1403/04/17</t>
  </si>
  <si>
    <t>1403/04/24</t>
  </si>
  <si>
    <t>1403/04/28</t>
  </si>
  <si>
    <t>1403/04/30</t>
  </si>
  <si>
    <t>آهن و فولاد غدیر ایرانیان (حق تقدم) (فغدیرح)</t>
  </si>
  <si>
    <t>1403/06/31</t>
  </si>
  <si>
    <t>سبحان دارو (دسبحان)</t>
  </si>
  <si>
    <t>دارو فارابی (دفارا)</t>
  </si>
  <si>
    <t>منتهی به 1403/07/30</t>
  </si>
  <si>
    <t>مواد داروپخش (دتماد)</t>
  </si>
  <si>
    <t>داروسازی قاضی (دقاضی)</t>
  </si>
  <si>
    <t>پارس دارو (دپارس)</t>
  </si>
  <si>
    <t>پخش هجرت (هجرت)</t>
  </si>
  <si>
    <t>1403/06/28</t>
  </si>
  <si>
    <t>1403/07/08</t>
  </si>
  <si>
    <t>1403/07/30</t>
  </si>
  <si>
    <t>برای ماه منتهی به 1403/07/30</t>
  </si>
  <si>
    <t>طی مهر ماه</t>
  </si>
  <si>
    <t>از ابتدای سال مالی تا پایان مهر ماه</t>
  </si>
  <si>
    <t>درصد از کل دارایی ها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</si>
</sst>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00_);_(* \(#,##0.000\);_(* &quot;-&quot;??_);_(@_)"/>
    <numFmt numFmtId="167" formatCode="_(* #,##0.000000_);_(* \(#,##0.000000\);_(* &quot;-&quot;??_);_(@_)"/>
    <numFmt numFmtId="168" formatCode="_-* #,##0.00_-;_-* #,##0.00\-;_-* &quot;-&quot;??_-;_-@_-"/>
    <numFmt numFmtId="169" formatCode="_-* #,##0.00000000_-;_-* #,##0.00000000\-;_-* &quot;-&quot;??_-;_-@_-"/>
    <numFmt numFmtId="170" formatCode="_-* #,##0_-;_-* #,##0\-;_-* &quot;-&quot;??_-;_-@_-"/>
    <numFmt numFmtId="171" formatCode="_-* #,##0.000000000000_-;_-* #,##0.000000000000\-;_-* &quot;-&quot;??_-;_-@_-"/>
    <numFmt numFmtId="172" formatCode="#,##0.0_);\(#,##0.0\)"/>
    <numFmt numFmtId="173" formatCode="0.0"/>
    <numFmt numFmtId="174" formatCode="#,##0.00;\(#,##0.00\);"/>
  </numFmts>
  <fonts count="6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  <font>
      <sz val="18"/>
      <color theme="1"/>
      <name val="B Mitra"/>
      <charset val="178"/>
    </font>
    <font>
      <b/>
      <sz val="9"/>
      <color rgb="FF00A651"/>
      <name val="IranSansFaNum"/>
    </font>
    <font>
      <sz val="16"/>
      <name val="B Mitra"/>
      <charset val="178"/>
    </font>
    <font>
      <b/>
      <sz val="9"/>
      <color rgb="FFD42020"/>
      <name val="IranSansFaNum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b/>
      <sz val="12"/>
      <color rgb="FF2E2E2E"/>
      <name val="IranSansFaNum"/>
    </font>
    <font>
      <sz val="14"/>
      <name val="B Mitra"/>
      <charset val="178"/>
    </font>
    <font>
      <b/>
      <sz val="13"/>
      <color rgb="FF000000"/>
      <name val="B Mitra"/>
      <charset val="178"/>
    </font>
    <font>
      <b/>
      <sz val="12"/>
      <color theme="1" tint="0.14999847407452621"/>
      <name val="B Mitra"/>
      <charset val="178"/>
    </font>
    <font>
      <b/>
      <sz val="14"/>
      <color theme="1" tint="0.14999847407452621"/>
      <name val="B Mitra"/>
      <charset val="17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168" fontId="2" fillId="0" borderId="0" applyFont="0" applyFill="0" applyBorder="0" applyAlignment="0" applyProtection="0"/>
  </cellStyleXfs>
  <cellXfs count="359">
    <xf numFmtId="0" fontId="0" fillId="0" borderId="0" xfId="0"/>
    <xf numFmtId="0" fontId="12" fillId="0" borderId="0" xfId="0" applyFont="1"/>
    <xf numFmtId="165" fontId="8" fillId="0" borderId="0" xfId="1" applyNumberFormat="1" applyFont="1" applyFill="1"/>
    <xf numFmtId="0" fontId="29" fillId="0" borderId="0" xfId="0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167" fontId="4" fillId="0" borderId="0" xfId="1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 wrapText="1" readingOrder="2"/>
    </xf>
    <xf numFmtId="164" fontId="4" fillId="0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 wrapText="1"/>
    </xf>
    <xf numFmtId="164" fontId="18" fillId="0" borderId="1" xfId="1" applyNumberFormat="1" applyFont="1" applyFill="1" applyBorder="1"/>
    <xf numFmtId="164" fontId="18" fillId="0" borderId="0" xfId="1" applyNumberFormat="1" applyFont="1" applyFill="1" applyAlignment="1">
      <alignment vertical="center"/>
    </xf>
    <xf numFmtId="10" fontId="11" fillId="0" borderId="0" xfId="2" applyNumberFormat="1" applyFont="1" applyFill="1" applyAlignment="1">
      <alignment horizontal="center" vertical="center"/>
    </xf>
    <xf numFmtId="10" fontId="11" fillId="0" borderId="8" xfId="2" applyNumberFormat="1" applyFont="1" applyFill="1" applyBorder="1" applyAlignment="1">
      <alignment horizontal="center" vertical="center"/>
    </xf>
    <xf numFmtId="164" fontId="14" fillId="0" borderId="0" xfId="1" applyNumberFormat="1" applyFont="1" applyFill="1"/>
    <xf numFmtId="164" fontId="8" fillId="0" borderId="0" xfId="1" applyNumberFormat="1" applyFont="1" applyFill="1" applyAlignment="1">
      <alignment vertical="center"/>
    </xf>
    <xf numFmtId="164" fontId="12" fillId="0" borderId="0" xfId="1" applyNumberFormat="1" applyFont="1" applyFill="1"/>
    <xf numFmtId="164" fontId="12" fillId="0" borderId="0" xfId="1" applyNumberFormat="1" applyFont="1" applyFill="1" applyAlignment="1"/>
    <xf numFmtId="164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/>
    <xf numFmtId="164" fontId="13" fillId="0" borderId="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/>
    <xf numFmtId="164" fontId="1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20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vertical="center"/>
    </xf>
    <xf numFmtId="165" fontId="12" fillId="0" borderId="0" xfId="1" applyNumberFormat="1" applyFont="1" applyFill="1"/>
    <xf numFmtId="165" fontId="13" fillId="0" borderId="0" xfId="1" applyNumberFormat="1" applyFont="1" applyFill="1"/>
    <xf numFmtId="165" fontId="13" fillId="0" borderId="0" xfId="1" applyNumberFormat="1" applyFont="1" applyFill="1" applyAlignment="1">
      <alignment vertical="center"/>
    </xf>
    <xf numFmtId="164" fontId="22" fillId="0" borderId="1" xfId="1" applyNumberFormat="1" applyFont="1" applyFill="1" applyBorder="1" applyAlignment="1">
      <alignment horizontal="center" vertical="center" wrapText="1" readingOrder="2"/>
    </xf>
    <xf numFmtId="165" fontId="22" fillId="0" borderId="1" xfId="1" applyNumberFormat="1" applyFont="1" applyFill="1" applyBorder="1" applyAlignment="1">
      <alignment horizontal="center" vertical="center" wrapText="1" readingOrder="2"/>
    </xf>
    <xf numFmtId="165" fontId="21" fillId="0" borderId="4" xfId="1" applyNumberFormat="1" applyFont="1" applyFill="1" applyBorder="1" applyAlignment="1">
      <alignment horizontal="center" vertical="center" wrapText="1" readingOrder="2"/>
    </xf>
    <xf numFmtId="164" fontId="14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164" fontId="37" fillId="0" borderId="0" xfId="1" applyNumberFormat="1" applyFont="1" applyFill="1" applyAlignment="1">
      <alignment vertical="center"/>
    </xf>
    <xf numFmtId="164" fontId="25" fillId="0" borderId="13" xfId="1" applyNumberFormat="1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Alignment="1">
      <alignment vertical="center" wrapText="1"/>
    </xf>
    <xf numFmtId="164" fontId="18" fillId="0" borderId="3" xfId="1" applyNumberFormat="1" applyFont="1" applyFill="1" applyBorder="1" applyAlignment="1">
      <alignment vertical="center" wrapText="1"/>
    </xf>
    <xf numFmtId="164" fontId="8" fillId="0" borderId="0" xfId="1" applyNumberFormat="1" applyFont="1" applyFill="1"/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center" vertical="center" readingOrder="2"/>
    </xf>
    <xf numFmtId="164" fontId="20" fillId="0" borderId="9" xfId="1" applyNumberFormat="1" applyFont="1" applyFill="1" applyBorder="1" applyAlignment="1">
      <alignment horizontal="left" vertical="center"/>
    </xf>
    <xf numFmtId="164" fontId="20" fillId="0" borderId="0" xfId="1" applyNumberFormat="1" applyFont="1" applyFill="1" applyBorder="1" applyAlignment="1">
      <alignment vertical="center"/>
    </xf>
    <xf numFmtId="10" fontId="6" fillId="0" borderId="8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3" fontId="40" fillId="0" borderId="0" xfId="0" applyNumberFormat="1" applyFont="1"/>
    <xf numFmtId="0" fontId="18" fillId="0" borderId="0" xfId="0" applyFont="1"/>
    <xf numFmtId="0" fontId="8" fillId="0" borderId="0" xfId="0" applyFont="1"/>
    <xf numFmtId="164" fontId="18" fillId="0" borderId="1" xfId="1" applyNumberFormat="1" applyFont="1" applyFill="1" applyBorder="1" applyAlignment="1">
      <alignment horizontal="center"/>
    </xf>
    <xf numFmtId="164" fontId="16" fillId="0" borderId="0" xfId="1" applyNumberFormat="1" applyFont="1" applyFill="1" applyAlignment="1">
      <alignment horizontal="right" vertical="center" readingOrder="2"/>
    </xf>
    <xf numFmtId="164" fontId="12" fillId="0" borderId="0" xfId="0" applyNumberFormat="1" applyFont="1"/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0" fontId="21" fillId="0" borderId="8" xfId="2" applyNumberFormat="1" applyFont="1" applyFill="1" applyBorder="1" applyAlignment="1">
      <alignment horizontal="center" vertical="center" wrapText="1" readingOrder="2"/>
    </xf>
    <xf numFmtId="10" fontId="35" fillId="0" borderId="2" xfId="2" applyNumberFormat="1" applyFont="1" applyFill="1" applyBorder="1" applyAlignment="1">
      <alignment horizontal="center" vertical="center" wrapText="1" readingOrder="2"/>
    </xf>
    <xf numFmtId="165" fontId="8" fillId="0" borderId="0" xfId="1" applyNumberFormat="1" applyFont="1" applyFill="1" applyAlignment="1"/>
    <xf numFmtId="37" fontId="45" fillId="0" borderId="0" xfId="0" applyNumberFormat="1" applyFont="1" applyAlignment="1">
      <alignment horizontal="center" vertical="center" wrapText="1"/>
    </xf>
    <xf numFmtId="164" fontId="8" fillId="0" borderId="8" xfId="1" applyNumberFormat="1" applyFont="1" applyFill="1" applyBorder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Border="1" applyAlignment="1">
      <alignment horizontal="right" vertical="center" wrapText="1" readingOrder="2"/>
    </xf>
    <xf numFmtId="164" fontId="31" fillId="0" borderId="0" xfId="1" applyNumberFormat="1" applyFont="1" applyFill="1" applyAlignment="1">
      <alignment horizontal="center"/>
    </xf>
    <xf numFmtId="164" fontId="17" fillId="0" borderId="0" xfId="1" applyNumberFormat="1" applyFont="1" applyFill="1" applyAlignment="1">
      <alignment horizontal="right" vertical="center" readingOrder="2"/>
    </xf>
    <xf numFmtId="164" fontId="17" fillId="0" borderId="0" xfId="1" applyNumberFormat="1" applyFont="1" applyFill="1" applyAlignment="1">
      <alignment vertical="center" readingOrder="2"/>
    </xf>
    <xf numFmtId="164" fontId="19" fillId="0" borderId="12" xfId="1" applyNumberFormat="1" applyFont="1" applyFill="1" applyBorder="1" applyAlignment="1">
      <alignment horizontal="right" vertical="center" readingOrder="2"/>
    </xf>
    <xf numFmtId="164" fontId="33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center" vertical="center"/>
    </xf>
    <xf numFmtId="164" fontId="18" fillId="0" borderId="0" xfId="1" applyNumberFormat="1" applyFont="1" applyFill="1" applyAlignment="1">
      <alignment horizontal="center"/>
    </xf>
    <xf numFmtId="164" fontId="31" fillId="0" borderId="0" xfId="1" applyNumberFormat="1" applyFont="1" applyFill="1" applyAlignment="1">
      <alignment vertical="center" wrapText="1"/>
    </xf>
    <xf numFmtId="164" fontId="18" fillId="0" borderId="0" xfId="1" applyNumberFormat="1" applyFont="1" applyFill="1" applyAlignment="1">
      <alignment horizontal="center" vertical="center" readingOrder="2"/>
    </xf>
    <xf numFmtId="164" fontId="39" fillId="0" borderId="0" xfId="1" applyNumberFormat="1" applyFont="1" applyFill="1"/>
    <xf numFmtId="164" fontId="18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164" fontId="32" fillId="0" borderId="0" xfId="1" applyNumberFormat="1" applyFont="1" applyFill="1"/>
    <xf numFmtId="37" fontId="16" fillId="0" borderId="0" xfId="1" applyNumberFormat="1" applyFont="1" applyFill="1" applyAlignment="1">
      <alignment horizontal="center" vertical="center" readingOrder="2"/>
    </xf>
    <xf numFmtId="37" fontId="17" fillId="0" borderId="0" xfId="1" applyNumberFormat="1" applyFont="1" applyFill="1" applyAlignment="1">
      <alignment horizontal="center" vertical="center" readingOrder="2"/>
    </xf>
    <xf numFmtId="37" fontId="18" fillId="0" borderId="0" xfId="1" applyNumberFormat="1" applyFont="1" applyFill="1" applyAlignment="1">
      <alignment horizontal="center"/>
    </xf>
    <xf numFmtId="3" fontId="0" fillId="0" borderId="0" xfId="0" applyNumberFormat="1"/>
    <xf numFmtId="169" fontId="48" fillId="0" borderId="0" xfId="5" applyNumberFormat="1" applyFont="1" applyFill="1" applyAlignment="1">
      <alignment horizontal="left" vertical="center" wrapText="1" shrinkToFit="1"/>
    </xf>
    <xf numFmtId="0" fontId="48" fillId="0" borderId="0" xfId="0" applyFont="1" applyAlignment="1">
      <alignment vertical="center"/>
    </xf>
    <xf numFmtId="0" fontId="49" fillId="0" borderId="0" xfId="0" applyFont="1"/>
    <xf numFmtId="0" fontId="51" fillId="0" borderId="0" xfId="0" applyFont="1"/>
    <xf numFmtId="37" fontId="50" fillId="0" borderId="10" xfId="0" applyNumberFormat="1" applyFont="1" applyBorder="1" applyAlignment="1">
      <alignment horizontal="center" vertical="center"/>
    </xf>
    <xf numFmtId="37" fontId="50" fillId="0" borderId="10" xfId="0" applyNumberFormat="1" applyFont="1" applyBorder="1" applyAlignment="1">
      <alignment horizontal="center" vertical="center" wrapText="1"/>
    </xf>
    <xf numFmtId="170" fontId="48" fillId="0" borderId="0" xfId="0" applyNumberFormat="1" applyFont="1" applyAlignment="1">
      <alignment vertical="center"/>
    </xf>
    <xf numFmtId="0" fontId="53" fillId="0" borderId="0" xfId="0" applyFont="1"/>
    <xf numFmtId="164" fontId="52" fillId="0" borderId="0" xfId="0" applyNumberFormat="1" applyFont="1" applyAlignment="1">
      <alignment horizontal="center" vertical="center" wrapText="1" shrinkToFit="1"/>
    </xf>
    <xf numFmtId="0" fontId="53" fillId="0" borderId="0" xfId="0" applyFont="1" applyAlignment="1">
      <alignment horizontal="center"/>
    </xf>
    <xf numFmtId="164" fontId="52" fillId="0" borderId="0" xfId="0" applyNumberFormat="1" applyFont="1" applyAlignment="1">
      <alignment horizontal="left" vertical="center" wrapText="1" shrinkToFit="1"/>
    </xf>
    <xf numFmtId="0" fontId="48" fillId="0" borderId="0" xfId="0" applyFont="1"/>
    <xf numFmtId="171" fontId="48" fillId="0" borderId="0" xfId="5" applyNumberFormat="1" applyFont="1" applyFill="1" applyAlignment="1">
      <alignment horizontal="left" vertical="center" wrapText="1" shrinkToFit="1"/>
    </xf>
    <xf numFmtId="0" fontId="53" fillId="0" borderId="0" xfId="0" applyFont="1" applyAlignment="1">
      <alignment vertical="center"/>
    </xf>
    <xf numFmtId="37" fontId="52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52" fillId="0" borderId="8" xfId="0" applyNumberFormat="1" applyFont="1" applyBorder="1" applyAlignment="1">
      <alignment horizontal="left" vertical="center" wrapText="1" shrinkToFit="1"/>
    </xf>
    <xf numFmtId="37" fontId="52" fillId="0" borderId="9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0" fontId="52" fillId="0" borderId="0" xfId="0" applyNumberFormat="1" applyFont="1" applyAlignment="1">
      <alignment horizontal="center" vertical="center"/>
    </xf>
    <xf numFmtId="3" fontId="52" fillId="0" borderId="0" xfId="0" applyNumberFormat="1" applyFont="1" applyAlignment="1">
      <alignment horizontal="left" vertical="center" wrapText="1" shrinkToFit="1"/>
    </xf>
    <xf numFmtId="0" fontId="7" fillId="0" borderId="0" xfId="0" applyFont="1" applyAlignment="1">
      <alignment horizontal="center"/>
    </xf>
    <xf numFmtId="164" fontId="13" fillId="0" borderId="0" xfId="1" applyNumberFormat="1" applyFont="1" applyFill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43" fontId="8" fillId="0" borderId="0" xfId="1" applyFont="1" applyFill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10" fontId="4" fillId="0" borderId="0" xfId="1" applyNumberFormat="1" applyFont="1" applyFill="1" applyAlignment="1">
      <alignment vertical="center"/>
    </xf>
    <xf numFmtId="3" fontId="18" fillId="0" borderId="0" xfId="1" applyNumberFormat="1" applyFont="1" applyFill="1" applyAlignment="1">
      <alignment vertical="center"/>
    </xf>
    <xf numFmtId="172" fontId="13" fillId="2" borderId="0" xfId="1" applyNumberFormat="1" applyFont="1" applyFill="1" applyAlignment="1">
      <alignment vertical="center"/>
    </xf>
    <xf numFmtId="172" fontId="13" fillId="3" borderId="0" xfId="1" applyNumberFormat="1" applyFont="1" applyFill="1" applyAlignment="1">
      <alignment vertical="center"/>
    </xf>
    <xf numFmtId="164" fontId="53" fillId="0" borderId="0" xfId="1" applyNumberFormat="1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7" fontId="45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172" fontId="13" fillId="0" borderId="0" xfId="1" applyNumberFormat="1" applyFont="1" applyFill="1" applyAlignment="1">
      <alignment vertical="center"/>
    </xf>
    <xf numFmtId="164" fontId="20" fillId="0" borderId="0" xfId="1" applyNumberFormat="1" applyFont="1" applyFill="1" applyAlignment="1">
      <alignment vertical="center"/>
    </xf>
    <xf numFmtId="10" fontId="57" fillId="0" borderId="0" xfId="2" applyNumberFormat="1" applyFont="1" applyFill="1" applyAlignment="1">
      <alignment horizontal="center" vertical="center" wrapText="1" readingOrder="2"/>
    </xf>
    <xf numFmtId="9" fontId="57" fillId="0" borderId="2" xfId="2" applyFont="1" applyFill="1" applyBorder="1" applyAlignment="1">
      <alignment horizontal="center" vertical="center" readingOrder="2"/>
    </xf>
    <xf numFmtId="10" fontId="57" fillId="0" borderId="2" xfId="2" applyNumberFormat="1" applyFont="1" applyFill="1" applyBorder="1" applyAlignment="1">
      <alignment horizontal="center" vertical="center" readingOrder="2"/>
    </xf>
    <xf numFmtId="3" fontId="58" fillId="0" borderId="2" xfId="2" applyNumberFormat="1" applyFont="1" applyFill="1" applyBorder="1" applyAlignment="1">
      <alignment horizontal="right" vertical="center" readingOrder="2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vertical="center" wrapText="1" readingOrder="2"/>
    </xf>
    <xf numFmtId="0" fontId="4" fillId="0" borderId="0" xfId="0" applyFont="1" applyFill="1" applyAlignment="1">
      <alignment vertical="center" wrapText="1" readingOrder="2"/>
    </xf>
    <xf numFmtId="0" fontId="4" fillId="0" borderId="0" xfId="0" applyFont="1" applyFill="1" applyAlignment="1">
      <alignment horizontal="center" vertical="center" readingOrder="2"/>
    </xf>
    <xf numFmtId="37" fontId="6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3" fontId="40" fillId="0" borderId="0" xfId="0" applyNumberFormat="1" applyFont="1" applyFill="1"/>
    <xf numFmtId="166" fontId="4" fillId="0" borderId="0" xfId="0" applyNumberFormat="1" applyFont="1" applyFill="1" applyAlignment="1">
      <alignment vertical="center"/>
    </xf>
    <xf numFmtId="3" fontId="54" fillId="0" borderId="0" xfId="0" applyNumberFormat="1" applyFont="1" applyFill="1"/>
    <xf numFmtId="0" fontId="8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7" fontId="30" fillId="0" borderId="0" xfId="0" quotePrefix="1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6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40" fillId="0" borderId="0" xfId="0" applyNumberFormat="1" applyFont="1" applyFill="1" applyAlignment="1">
      <alignment vertical="center" wrapText="1"/>
    </xf>
    <xf numFmtId="0" fontId="14" fillId="0" borderId="0" xfId="0" applyFont="1" applyFill="1"/>
    <xf numFmtId="0" fontId="18" fillId="0" borderId="0" xfId="0" applyFont="1" applyFill="1"/>
    <xf numFmtId="0" fontId="18" fillId="0" borderId="1" xfId="0" applyFont="1" applyFill="1" applyBorder="1"/>
    <xf numFmtId="0" fontId="16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18" fillId="0" borderId="0" xfId="0" applyFont="1" applyFill="1" applyAlignment="1">
      <alignment horizontal="center"/>
    </xf>
    <xf numFmtId="37" fontId="11" fillId="0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Fill="1"/>
    <xf numFmtId="37" fontId="11" fillId="0" borderId="0" xfId="0" applyNumberFormat="1" applyFont="1" applyFill="1" applyAlignment="1">
      <alignment vertical="center" wrapText="1"/>
    </xf>
    <xf numFmtId="0" fontId="43" fillId="0" borderId="0" xfId="0" applyFont="1" applyFill="1"/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43" fillId="0" borderId="0" xfId="1" applyNumberFormat="1" applyFont="1" applyFill="1" applyAlignment="1">
      <alignment vertical="center"/>
    </xf>
    <xf numFmtId="0" fontId="43" fillId="0" borderId="0" xfId="0" applyFont="1" applyFill="1" applyAlignment="1">
      <alignment horizontal="center"/>
    </xf>
    <xf numFmtId="173" fontId="13" fillId="0" borderId="0" xfId="1" applyNumberFormat="1" applyFont="1" applyFill="1" applyAlignment="1">
      <alignment vertical="center"/>
    </xf>
    <xf numFmtId="3" fontId="13" fillId="0" borderId="0" xfId="1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21" fillId="0" borderId="0" xfId="0" applyFont="1" applyFill="1" applyAlignment="1">
      <alignment vertical="center" wrapText="1" readingOrder="2"/>
    </xf>
    <xf numFmtId="0" fontId="13" fillId="0" borderId="0" xfId="0" applyFont="1" applyFill="1" applyAlignment="1">
      <alignment horizontal="center" vertical="center"/>
    </xf>
    <xf numFmtId="165" fontId="21" fillId="0" borderId="4" xfId="0" applyNumberFormat="1" applyFont="1" applyFill="1" applyBorder="1" applyAlignment="1">
      <alignment horizontal="center" vertical="center" wrapText="1" readingOrder="2"/>
    </xf>
    <xf numFmtId="0" fontId="21" fillId="0" borderId="4" xfId="0" applyFont="1" applyFill="1" applyBorder="1" applyAlignment="1">
      <alignment horizontal="center" vertical="center" wrapText="1" readingOrder="2"/>
    </xf>
    <xf numFmtId="37" fontId="6" fillId="0" borderId="0" xfId="0" quotePrefix="1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37" fontId="3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 readingOrder="2"/>
    </xf>
    <xf numFmtId="0" fontId="25" fillId="0" borderId="0" xfId="0" applyFont="1" applyFill="1" applyAlignment="1">
      <alignment vertical="center" wrapText="1" readingOrder="2"/>
    </xf>
    <xf numFmtId="0" fontId="26" fillId="0" borderId="0" xfId="0" applyFont="1" applyFill="1" applyAlignment="1">
      <alignment horizontal="center" vertical="center" wrapText="1" readingOrder="2"/>
    </xf>
    <xf numFmtId="0" fontId="12" fillId="0" borderId="0" xfId="0" applyFont="1" applyFill="1"/>
    <xf numFmtId="0" fontId="27" fillId="0" borderId="0" xfId="0" applyFont="1" applyFill="1" applyAlignment="1">
      <alignment horizontal="right" vertical="center" wrapText="1" readingOrder="2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/>
    <xf numFmtId="164" fontId="8" fillId="0" borderId="0" xfId="0" applyNumberFormat="1" applyFont="1" applyFill="1"/>
    <xf numFmtId="0" fontId="25" fillId="0" borderId="13" xfId="0" applyFont="1" applyFill="1" applyBorder="1" applyAlignment="1">
      <alignment horizontal="center" vertical="center" wrapText="1" readingOrder="2"/>
    </xf>
    <xf numFmtId="37" fontId="28" fillId="0" borderId="0" xfId="0" applyNumberFormat="1" applyFont="1" applyFill="1" applyAlignment="1">
      <alignment horizontal="center" vertical="center" wrapText="1"/>
    </xf>
    <xf numFmtId="10" fontId="11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3" fontId="42" fillId="0" borderId="0" xfId="0" applyNumberFormat="1" applyFont="1" applyFill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3" fontId="18" fillId="0" borderId="0" xfId="0" applyNumberFormat="1" applyFont="1" applyFill="1"/>
    <xf numFmtId="3" fontId="12" fillId="0" borderId="0" xfId="0" applyNumberFormat="1" applyFont="1" applyFill="1"/>
    <xf numFmtId="3" fontId="24" fillId="0" borderId="10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/>
    </xf>
    <xf numFmtId="173" fontId="18" fillId="0" borderId="0" xfId="0" applyNumberFormat="1" applyFont="1" applyFill="1"/>
    <xf numFmtId="0" fontId="13" fillId="0" borderId="0" xfId="0" applyFont="1" applyFill="1" applyAlignment="1">
      <alignment horizontal="center"/>
    </xf>
    <xf numFmtId="37" fontId="45" fillId="0" borderId="0" xfId="0" applyNumberFormat="1" applyFont="1" applyFill="1" applyAlignment="1">
      <alignment horizontal="center" vertical="center" wrapText="1"/>
    </xf>
    <xf numFmtId="173" fontId="8" fillId="0" borderId="0" xfId="0" applyNumberFormat="1" applyFont="1" applyFill="1"/>
    <xf numFmtId="173" fontId="13" fillId="0" borderId="0" xfId="0" applyNumberFormat="1" applyFont="1" applyFill="1"/>
    <xf numFmtId="3" fontId="13" fillId="0" borderId="0" xfId="0" applyNumberFormat="1" applyFont="1" applyFill="1"/>
    <xf numFmtId="37" fontId="13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7" fontId="12" fillId="0" borderId="0" xfId="0" applyNumberFormat="1" applyFont="1" applyFill="1"/>
    <xf numFmtId="37" fontId="8" fillId="0" borderId="0" xfId="0" applyNumberFormat="1" applyFont="1" applyFill="1" applyAlignment="1">
      <alignment horizontal="center" vertical="center"/>
    </xf>
    <xf numFmtId="2" fontId="8" fillId="0" borderId="9" xfId="0" applyNumberFormat="1" applyFont="1" applyFill="1" applyBorder="1" applyAlignment="1">
      <alignment vertical="center"/>
    </xf>
    <xf numFmtId="164" fontId="12" fillId="0" borderId="0" xfId="0" applyNumberFormat="1" applyFont="1" applyFill="1"/>
    <xf numFmtId="164" fontId="43" fillId="0" borderId="0" xfId="0" applyNumberFormat="1" applyFont="1" applyFill="1"/>
    <xf numFmtId="3" fontId="44" fillId="0" borderId="0" xfId="0" applyNumberFormat="1" applyFont="1" applyFill="1"/>
    <xf numFmtId="165" fontId="12" fillId="0" borderId="0" xfId="0" applyNumberFormat="1" applyFont="1" applyFill="1"/>
    <xf numFmtId="0" fontId="18" fillId="0" borderId="0" xfId="0" applyFont="1" applyFill="1" applyAlignment="1">
      <alignment horizontal="center" vertical="center"/>
    </xf>
    <xf numFmtId="37" fontId="55" fillId="0" borderId="0" xfId="0" quotePrefix="1" applyNumberFormat="1" applyFont="1" applyFill="1" applyAlignment="1">
      <alignment horizontal="right" vertical="center" wrapText="1"/>
    </xf>
    <xf numFmtId="37" fontId="11" fillId="0" borderId="0" xfId="0" quotePrefix="1" applyNumberFormat="1" applyFont="1" applyFill="1" applyAlignment="1">
      <alignment horizontal="right" vertical="center" wrapText="1"/>
    </xf>
    <xf numFmtId="2" fontId="8" fillId="0" borderId="0" xfId="0" applyNumberFormat="1" applyFont="1" applyFill="1" applyAlignment="1">
      <alignment vertical="center"/>
    </xf>
    <xf numFmtId="37" fontId="11" fillId="0" borderId="0" xfId="0" applyNumberFormat="1" applyFont="1" applyFill="1" applyAlignment="1">
      <alignment horizontal="center" vertical="center" wrapText="1"/>
    </xf>
    <xf numFmtId="3" fontId="46" fillId="0" borderId="0" xfId="0" applyNumberFormat="1" applyFont="1" applyFill="1"/>
    <xf numFmtId="3" fontId="41" fillId="0" borderId="0" xfId="0" applyNumberFormat="1" applyFont="1" applyFill="1" applyAlignment="1">
      <alignment vertical="center"/>
    </xf>
    <xf numFmtId="37" fontId="11" fillId="0" borderId="0" xfId="0" quotePrefix="1" applyNumberFormat="1" applyFont="1" applyFill="1" applyAlignment="1">
      <alignment horizontal="center" vertical="center" wrapText="1"/>
    </xf>
    <xf numFmtId="37" fontId="24" fillId="0" borderId="0" xfId="0" applyNumberFormat="1" applyFont="1" applyFill="1" applyAlignment="1">
      <alignment vertical="center" wrapText="1"/>
    </xf>
    <xf numFmtId="37" fontId="8" fillId="0" borderId="0" xfId="0" applyNumberFormat="1" applyFont="1" applyFill="1"/>
    <xf numFmtId="174" fontId="5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 readingOrder="2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0" fontId="15" fillId="0" borderId="0" xfId="0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 readingOrder="2"/>
    </xf>
    <xf numFmtId="3" fontId="24" fillId="0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 wrapText="1" readingOrder="2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164" fontId="4" fillId="0" borderId="1" xfId="1" applyNumberFormat="1" applyFont="1" applyFill="1" applyBorder="1" applyAlignment="1">
      <alignment horizontal="center" vertical="center" wrapText="1" readingOrder="2"/>
    </xf>
    <xf numFmtId="10" fontId="4" fillId="0" borderId="3" xfId="2" applyNumberFormat="1" applyFont="1" applyFill="1" applyBorder="1" applyAlignment="1">
      <alignment horizontal="center" vertical="center" wrapText="1" readingOrder="2"/>
    </xf>
    <xf numFmtId="10" fontId="4" fillId="0" borderId="1" xfId="2" applyNumberFormat="1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readingOrder="2"/>
    </xf>
    <xf numFmtId="164" fontId="4" fillId="0" borderId="1" xfId="1" applyNumberFormat="1" applyFont="1" applyFill="1" applyBorder="1" applyAlignment="1">
      <alignment horizontal="center" vertical="center" readingOrder="2"/>
    </xf>
    <xf numFmtId="0" fontId="5" fillId="0" borderId="0" xfId="0" applyFont="1" applyFill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 readingOrder="2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readingOrder="2"/>
    </xf>
    <xf numFmtId="0" fontId="7" fillId="0" borderId="1" xfId="0" applyFont="1" applyFill="1" applyBorder="1" applyAlignment="1">
      <alignment horizontal="center"/>
    </xf>
    <xf numFmtId="37" fontId="50" fillId="0" borderId="14" xfId="0" applyNumberFormat="1" applyFont="1" applyBorder="1" applyAlignment="1">
      <alignment horizontal="center" vertical="center"/>
    </xf>
    <xf numFmtId="0" fontId="51" fillId="0" borderId="11" xfId="0" applyFont="1" applyBorder="1"/>
    <xf numFmtId="0" fontId="47" fillId="0" borderId="0" xfId="0" applyFont="1" applyAlignment="1">
      <alignment horizontal="center"/>
    </xf>
    <xf numFmtId="37" fontId="50" fillId="0" borderId="0" xfId="0" applyNumberFormat="1" applyFont="1" applyAlignment="1">
      <alignment horizontal="right" vertical="center"/>
    </xf>
    <xf numFmtId="0" fontId="51" fillId="0" borderId="0" xfId="0" applyFont="1"/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8" fillId="0" borderId="3" xfId="0" applyFont="1" applyFill="1" applyBorder="1" applyAlignment="1">
      <alignment horizontal="center" vertical="center" readingOrder="2"/>
    </xf>
    <xf numFmtId="0" fontId="18" fillId="0" borderId="1" xfId="0" applyFont="1" applyFill="1" applyBorder="1" applyAlignment="1">
      <alignment horizontal="center" vertical="center" readingOrder="2"/>
    </xf>
    <xf numFmtId="0" fontId="18" fillId="0" borderId="0" xfId="0" applyFont="1" applyFill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164" fontId="18" fillId="0" borderId="1" xfId="1" applyNumberFormat="1" applyFont="1" applyFill="1" applyBorder="1" applyAlignment="1">
      <alignment horizontal="center" vertical="center" readingOrder="2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5" fontId="13" fillId="0" borderId="3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Alignment="1">
      <alignment horizontal="center" vertical="center" wrapText="1"/>
    </xf>
    <xf numFmtId="164" fontId="21" fillId="0" borderId="3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wrapText="1" readingOrder="2"/>
    </xf>
    <xf numFmtId="165" fontId="21" fillId="0" borderId="3" xfId="1" applyNumberFormat="1" applyFont="1" applyFill="1" applyBorder="1" applyAlignment="1">
      <alignment horizontal="center" vertical="center" wrapText="1" readingOrder="2"/>
    </xf>
    <xf numFmtId="165" fontId="21" fillId="0" borderId="0" xfId="1" applyNumberFormat="1" applyFont="1" applyFill="1" applyBorder="1" applyAlignment="1">
      <alignment horizontal="center" vertical="center" wrapText="1" readingOrder="2"/>
    </xf>
    <xf numFmtId="0" fontId="21" fillId="0" borderId="3" xfId="0" applyFont="1" applyFill="1" applyBorder="1" applyAlignment="1">
      <alignment horizontal="center" vertical="center" wrapText="1" readingOrder="2"/>
    </xf>
    <xf numFmtId="0" fontId="21" fillId="0" borderId="1" xfId="0" applyFont="1" applyFill="1" applyBorder="1" applyAlignment="1">
      <alignment horizontal="center" vertical="center" wrapText="1" readingOrder="2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 readingOrder="2"/>
    </xf>
    <xf numFmtId="0" fontId="25" fillId="0" borderId="0" xfId="0" applyFont="1" applyFill="1" applyAlignment="1">
      <alignment horizontal="center" vertical="center" wrapText="1" readingOrder="2"/>
    </xf>
    <xf numFmtId="0" fontId="25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 readingOrder="2"/>
    </xf>
    <xf numFmtId="164" fontId="16" fillId="0" borderId="4" xfId="1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/>
    </xf>
    <xf numFmtId="3" fontId="12" fillId="0" borderId="11" xfId="0" applyNumberFormat="1" applyFont="1" applyFill="1" applyBorder="1"/>
    <xf numFmtId="3" fontId="20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right" vertical="center" readingOrder="2"/>
    </xf>
    <xf numFmtId="3" fontId="23" fillId="0" borderId="0" xfId="1" applyNumberFormat="1" applyFont="1" applyFill="1" applyAlignment="1">
      <alignment horizontal="right" vertical="center" readingOrder="2"/>
    </xf>
    <xf numFmtId="164" fontId="21" fillId="0" borderId="1" xfId="1" applyNumberFormat="1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56" fillId="0" borderId="1" xfId="1" applyNumberFormat="1" applyFont="1" applyFill="1" applyBorder="1" applyAlignment="1">
      <alignment horizontal="center" vertical="center" wrapText="1" readingOrder="2"/>
    </xf>
    <xf numFmtId="0" fontId="23" fillId="0" borderId="0" xfId="0" applyFont="1" applyFill="1" applyAlignment="1">
      <alignment horizontal="right" vertical="center" readingOrder="2"/>
    </xf>
    <xf numFmtId="165" fontId="23" fillId="0" borderId="0" xfId="1" applyNumberFormat="1" applyFont="1" applyFill="1" applyAlignment="1">
      <alignment horizontal="right" vertical="center" readingOrder="2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 readingOrder="2"/>
    </xf>
    <xf numFmtId="164" fontId="10" fillId="0" borderId="0" xfId="0" applyNumberFormat="1" applyFont="1" applyFill="1" applyAlignment="1">
      <alignment horizontal="center"/>
    </xf>
    <xf numFmtId="164" fontId="18" fillId="0" borderId="2" xfId="1" applyNumberFormat="1" applyFont="1" applyFill="1" applyBorder="1" applyAlignment="1">
      <alignment vertical="center" readingOrder="2"/>
    </xf>
    <xf numFmtId="164" fontId="18" fillId="0" borderId="2" xfId="1" applyNumberFormat="1" applyFont="1" applyFill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64" fontId="27" fillId="0" borderId="0" xfId="1" applyNumberFormat="1" applyFont="1" applyFill="1" applyBorder="1" applyAlignment="1">
      <alignment vertical="center" wrapText="1" readingOrder="2"/>
    </xf>
    <xf numFmtId="43" fontId="12" fillId="0" borderId="0" xfId="0" applyNumberFormat="1" applyFont="1" applyFill="1"/>
    <xf numFmtId="43" fontId="13" fillId="0" borderId="0" xfId="1" applyNumberFormat="1" applyFont="1" applyFill="1" applyAlignment="1">
      <alignment vertical="center"/>
    </xf>
    <xf numFmtId="164" fontId="8" fillId="0" borderId="0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</cellXfs>
  <cellStyles count="6">
    <cellStyle name="Comma" xfId="1" builtinId="3"/>
    <cellStyle name="Comma 2" xfId="5" xr:uid="{F2B00D3C-5790-4550-A487-9FBEA97624C3}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10</xdr:col>
      <xdr:colOff>0</xdr:colOff>
      <xdr:row>37</xdr:row>
      <xdr:rowOff>11767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7FFED-25AB-40A3-ABC2-43E4A0418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590400" y="28575"/>
          <a:ext cx="6096000" cy="7888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tabSelected="1" view="pageBreakPreview" zoomScaleNormal="100" zoomScaleSheetLayoutView="100" workbookViewId="0">
      <selection activeCell="P16" sqref="P16"/>
    </sheetView>
  </sheetViews>
  <sheetFormatPr defaultColWidth="9.140625" defaultRowHeight="17.25"/>
  <cols>
    <col min="1" max="16384" width="9.140625" style="1"/>
  </cols>
  <sheetData>
    <row r="18" spans="1:13">
      <c r="M18" s="1" t="s">
        <v>54</v>
      </c>
    </row>
    <row r="24" spans="1:13" ht="15" customHeight="1">
      <c r="A24" s="250" t="s">
        <v>70</v>
      </c>
      <c r="B24" s="250"/>
      <c r="C24" s="250"/>
      <c r="D24" s="250"/>
      <c r="E24" s="250"/>
      <c r="F24" s="250"/>
      <c r="G24" s="250"/>
      <c r="H24" s="250"/>
      <c r="I24" s="250"/>
      <c r="J24" s="250"/>
      <c r="K24" s="3"/>
      <c r="L24" s="3"/>
    </row>
    <row r="25" spans="1:13" ht="15" customHeight="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3"/>
      <c r="L25" s="3"/>
    </row>
    <row r="26" spans="1:13" ht="15" customHeight="1">
      <c r="A26" s="250"/>
      <c r="B26" s="250"/>
      <c r="C26" s="250"/>
      <c r="D26" s="250"/>
      <c r="E26" s="250"/>
      <c r="F26" s="250"/>
      <c r="G26" s="250"/>
      <c r="H26" s="250"/>
      <c r="I26" s="250"/>
      <c r="J26" s="250"/>
      <c r="K26" s="3"/>
      <c r="L26" s="3"/>
    </row>
    <row r="27" spans="1:13">
      <c r="C27" s="1" t="s">
        <v>54</v>
      </c>
    </row>
    <row r="28" spans="1:13" ht="15" customHeight="1">
      <c r="A28" s="250" t="s">
        <v>165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</row>
    <row r="29" spans="1:13" ht="15" customHeight="1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</row>
    <row r="30" spans="1:13" ht="15" customHeight="1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</row>
    <row r="31" spans="1:13" ht="15" customHeight="1">
      <c r="A31" s="250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M20"/>
  <sheetViews>
    <sheetView rightToLeft="1" view="pageBreakPreview" zoomScaleNormal="100" zoomScaleSheetLayoutView="100" workbookViewId="0">
      <selection activeCell="K12" sqref="K12"/>
    </sheetView>
  </sheetViews>
  <sheetFormatPr defaultColWidth="9.140625" defaultRowHeight="18"/>
  <cols>
    <col min="1" max="1" width="32.42578125" style="164" customWidth="1"/>
    <col min="2" max="2" width="1.42578125" style="164" customWidth="1"/>
    <col min="3" max="3" width="17.7109375" style="164" bestFit="1" customWidth="1"/>
    <col min="4" max="4" width="0.85546875" style="164" customWidth="1"/>
    <col min="5" max="5" width="18.140625" style="164" customWidth="1"/>
    <col min="6" max="8" width="9.140625" style="164"/>
    <col min="9" max="9" width="11.28515625" style="164" bestFit="1" customWidth="1"/>
    <col min="10" max="10" width="10.85546875" style="164" bestFit="1" customWidth="1"/>
    <col min="11" max="11" width="9.140625" style="164"/>
    <col min="12" max="12" width="9.85546875" style="164" bestFit="1" customWidth="1"/>
    <col min="13" max="13" width="11.28515625" style="164" bestFit="1" customWidth="1"/>
    <col min="14" max="16384" width="9.140625" style="164"/>
  </cols>
  <sheetData>
    <row r="1" spans="1:13" s="204" customFormat="1" ht="18.75">
      <c r="A1" s="285" t="s">
        <v>86</v>
      </c>
      <c r="B1" s="285"/>
      <c r="C1" s="285"/>
      <c r="D1" s="285"/>
      <c r="E1" s="285"/>
    </row>
    <row r="2" spans="1:13" s="204" customFormat="1" ht="18.75">
      <c r="A2" s="285" t="s">
        <v>52</v>
      </c>
      <c r="B2" s="285"/>
      <c r="C2" s="285"/>
      <c r="D2" s="285"/>
      <c r="E2" s="285"/>
    </row>
    <row r="3" spans="1:13" s="204" customFormat="1" ht="18.75">
      <c r="A3" s="285" t="str">
        <f>' سهام'!A3:W3</f>
        <v>برای ماه منتهی به 1403/07/30</v>
      </c>
      <c r="B3" s="285"/>
      <c r="C3" s="285"/>
      <c r="D3" s="285"/>
      <c r="E3" s="285"/>
    </row>
    <row r="4" spans="1:13" ht="18.75">
      <c r="A4" s="288" t="s">
        <v>28</v>
      </c>
      <c r="B4" s="288"/>
      <c r="C4" s="288"/>
      <c r="D4" s="288"/>
      <c r="E4" s="288"/>
    </row>
    <row r="5" spans="1:13" ht="49.5" customHeight="1" thickBot="1">
      <c r="A5" s="193"/>
      <c r="B5" s="194"/>
      <c r="C5" s="248" t="str">
        <f>'درآمد سرمایه گذاری در سهام '!C7</f>
        <v>طی مهر ماه</v>
      </c>
      <c r="D5" s="247"/>
      <c r="E5" s="248" t="str">
        <f>'درآمد سرمایه گذاری در سهام '!M7</f>
        <v>از ابتدای سال مالی تا پایان مهر ماه</v>
      </c>
    </row>
    <row r="6" spans="1:13" ht="16.5" customHeight="1">
      <c r="A6" s="317"/>
      <c r="B6" s="318"/>
      <c r="C6" s="319" t="s">
        <v>6</v>
      </c>
      <c r="D6" s="246"/>
      <c r="E6" s="319" t="s">
        <v>6</v>
      </c>
    </row>
    <row r="7" spans="1:13" ht="18.75" thickBot="1">
      <c r="A7" s="318"/>
      <c r="B7" s="318"/>
      <c r="C7" s="321"/>
      <c r="D7" s="195"/>
      <c r="E7" s="321"/>
    </row>
    <row r="8" spans="1:13">
      <c r="A8" s="247" t="s">
        <v>29</v>
      </c>
      <c r="B8" s="247"/>
      <c r="C8" s="12">
        <v>0</v>
      </c>
      <c r="D8" s="12"/>
      <c r="E8" s="12">
        <v>18434597</v>
      </c>
      <c r="F8" s="170"/>
      <c r="G8" s="12"/>
      <c r="H8" s="170"/>
      <c r="I8" s="12"/>
      <c r="J8" s="170"/>
      <c r="L8" s="170"/>
      <c r="M8" s="170"/>
    </row>
    <row r="9" spans="1:13">
      <c r="A9" s="247" t="s">
        <v>97</v>
      </c>
      <c r="B9" s="247"/>
      <c r="C9" s="12">
        <v>0</v>
      </c>
      <c r="D9" s="12">
        <v>27449510</v>
      </c>
      <c r="E9" s="12">
        <v>265983</v>
      </c>
      <c r="F9" s="205"/>
      <c r="G9" s="170"/>
      <c r="H9" s="170"/>
      <c r="I9" s="170"/>
      <c r="J9" s="170"/>
      <c r="K9" s="170"/>
      <c r="L9" s="170"/>
    </row>
    <row r="10" spans="1:13">
      <c r="A10" s="247" t="s">
        <v>118</v>
      </c>
      <c r="B10" s="247"/>
      <c r="C10" s="12">
        <v>0</v>
      </c>
      <c r="D10" s="12"/>
      <c r="E10" s="12">
        <v>16227227</v>
      </c>
      <c r="F10" s="205"/>
      <c r="G10" s="170"/>
      <c r="H10" s="170"/>
      <c r="I10" s="170"/>
      <c r="J10" s="170"/>
      <c r="K10" s="170"/>
      <c r="L10" s="170"/>
    </row>
    <row r="11" spans="1:13" ht="18.75" thickBot="1">
      <c r="A11" s="206" t="s">
        <v>2</v>
      </c>
      <c r="B11" s="247"/>
      <c r="C11" s="67">
        <f>SUM(C8:C10)</f>
        <v>0</v>
      </c>
      <c r="D11" s="12"/>
      <c r="E11" s="67">
        <f>SUM(E8:E10)</f>
        <v>34927807</v>
      </c>
      <c r="G11" s="170"/>
      <c r="H11" s="170"/>
      <c r="I11" s="170"/>
      <c r="J11" s="170"/>
    </row>
    <row r="12" spans="1:13" ht="18.75" thickTop="1">
      <c r="A12" s="247"/>
      <c r="D12" s="12"/>
      <c r="G12" s="170"/>
      <c r="H12" s="170"/>
      <c r="I12" s="170"/>
      <c r="J12" s="170"/>
    </row>
    <row r="13" spans="1:13">
      <c r="C13" s="207"/>
      <c r="E13" s="146"/>
    </row>
    <row r="14" spans="1:13">
      <c r="C14" s="12"/>
      <c r="E14" s="12"/>
      <c r="M14" s="207"/>
    </row>
    <row r="15" spans="1:13">
      <c r="C15" s="12"/>
      <c r="E15" s="12"/>
      <c r="M15" s="207"/>
    </row>
    <row r="16" spans="1:13">
      <c r="C16" s="146"/>
      <c r="E16" s="146"/>
    </row>
    <row r="17" spans="3:13">
      <c r="C17" s="170"/>
      <c r="E17" s="146"/>
      <c r="M17" s="207"/>
    </row>
    <row r="18" spans="3:13">
      <c r="C18" s="146"/>
      <c r="E18" s="170"/>
    </row>
    <row r="20" spans="3:13">
      <c r="C20" s="207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S41"/>
  <sheetViews>
    <sheetView rightToLeft="1" view="pageBreakPreview" zoomScaleNormal="100" zoomScaleSheetLayoutView="100" workbookViewId="0">
      <selection activeCell="U12" sqref="U12"/>
    </sheetView>
  </sheetViews>
  <sheetFormatPr defaultColWidth="9.140625" defaultRowHeight="17.25"/>
  <cols>
    <col min="1" max="1" width="30.5703125" style="208" bestFit="1" customWidth="1"/>
    <col min="2" max="2" width="0.5703125" style="208" customWidth="1"/>
    <col min="3" max="3" width="15" style="208" customWidth="1"/>
    <col min="4" max="4" width="0.85546875" style="208" customWidth="1"/>
    <col min="5" max="5" width="15.28515625" style="208" bestFit="1" customWidth="1"/>
    <col min="6" max="6" width="1.140625" style="208" customWidth="1"/>
    <col min="7" max="7" width="9.42578125" style="208" bestFit="1" customWidth="1"/>
    <col min="8" max="8" width="0.5703125" style="208" customWidth="1"/>
    <col min="9" max="9" width="19.42578125" style="208" customWidth="1"/>
    <col min="10" max="10" width="1" style="208" customWidth="1"/>
    <col min="11" max="11" width="15.28515625" style="208" customWidth="1"/>
    <col min="12" max="12" width="1.140625" style="208" customWidth="1"/>
    <col min="13" max="13" width="18.28515625" style="208" customWidth="1"/>
    <col min="14" max="14" width="1" style="208" customWidth="1"/>
    <col min="15" max="15" width="19.42578125" style="208" bestFit="1" customWidth="1"/>
    <col min="16" max="16" width="1.140625" style="208" customWidth="1"/>
    <col min="17" max="17" width="16" style="208" bestFit="1" customWidth="1"/>
    <col min="18" max="18" width="1.140625" style="208" customWidth="1"/>
    <col min="19" max="19" width="21.140625" style="208" bestFit="1" customWidth="1"/>
    <col min="20" max="20" width="2.85546875" style="208" customWidth="1"/>
    <col min="21" max="16384" width="9.140625" style="208"/>
  </cols>
  <sheetData>
    <row r="1" spans="1:19" ht="22.5">
      <c r="A1" s="329" t="s">
        <v>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22.5">
      <c r="A2" s="329" t="s">
        <v>52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</row>
    <row r="3" spans="1:19" ht="22.5">
      <c r="A3" s="329" t="str">
        <f>' سهام'!$A$3</f>
        <v>برای ماه منتهی به 1403/07/30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</row>
    <row r="4" spans="1:19" ht="22.5">
      <c r="A4" s="330" t="s">
        <v>72</v>
      </c>
      <c r="B4" s="330"/>
      <c r="C4" s="330"/>
      <c r="D4" s="330"/>
      <c r="E4" s="330"/>
      <c r="F4" s="330"/>
      <c r="G4" s="330"/>
      <c r="H4" s="330"/>
      <c r="I4" s="331"/>
      <c r="J4" s="331"/>
      <c r="K4" s="331"/>
      <c r="L4" s="331"/>
      <c r="M4" s="331"/>
      <c r="N4" s="331"/>
      <c r="O4" s="331"/>
      <c r="P4" s="331"/>
      <c r="Q4" s="330"/>
      <c r="R4" s="330"/>
      <c r="S4" s="330"/>
    </row>
    <row r="6" spans="1:19" ht="18.75">
      <c r="C6" s="327" t="s">
        <v>73</v>
      </c>
      <c r="D6" s="328"/>
      <c r="E6" s="328"/>
      <c r="F6" s="328"/>
      <c r="G6" s="328"/>
      <c r="I6" s="327" t="s">
        <v>74</v>
      </c>
      <c r="J6" s="328"/>
      <c r="K6" s="328"/>
      <c r="L6" s="328"/>
      <c r="M6" s="328"/>
      <c r="O6" s="327" t="str">
        <f>اوراق!Y6</f>
        <v>1403/07/30</v>
      </c>
      <c r="P6" s="328"/>
      <c r="Q6" s="328"/>
      <c r="R6" s="328"/>
      <c r="S6" s="328"/>
    </row>
    <row r="7" spans="1:19" ht="56.25">
      <c r="A7" s="249" t="s">
        <v>75</v>
      </c>
      <c r="C7" s="209" t="s">
        <v>76</v>
      </c>
      <c r="E7" s="209" t="s">
        <v>77</v>
      </c>
      <c r="G7" s="209" t="s">
        <v>78</v>
      </c>
      <c r="I7" s="209" t="s">
        <v>79</v>
      </c>
      <c r="K7" s="209" t="s">
        <v>80</v>
      </c>
      <c r="M7" s="209" t="s">
        <v>81</v>
      </c>
      <c r="O7" s="209" t="s">
        <v>79</v>
      </c>
      <c r="Q7" s="209" t="s">
        <v>80</v>
      </c>
      <c r="S7" s="209" t="s">
        <v>81</v>
      </c>
    </row>
    <row r="8" spans="1:19" ht="18">
      <c r="A8" s="123" t="s">
        <v>93</v>
      </c>
      <c r="B8" s="123"/>
      <c r="C8" s="123" t="s">
        <v>154</v>
      </c>
      <c r="D8" s="123"/>
      <c r="E8" s="12">
        <v>0</v>
      </c>
      <c r="F8" s="123"/>
      <c r="G8" s="12">
        <v>1250</v>
      </c>
      <c r="H8" s="123"/>
      <c r="I8" s="12">
        <v>0</v>
      </c>
      <c r="J8" s="123"/>
      <c r="K8" s="355">
        <v>0</v>
      </c>
      <c r="L8" s="123"/>
      <c r="M8" s="12">
        <f>I8+K8</f>
        <v>0</v>
      </c>
      <c r="N8" s="123"/>
      <c r="O8" s="12">
        <v>1948</v>
      </c>
      <c r="P8" s="123"/>
      <c r="Q8" s="355">
        <v>0</v>
      </c>
      <c r="R8" s="123"/>
      <c r="S8" s="12">
        <f>O8+Q8</f>
        <v>1948</v>
      </c>
    </row>
    <row r="9" spans="1:19" ht="18">
      <c r="A9" s="123" t="s">
        <v>104</v>
      </c>
      <c r="B9" s="123"/>
      <c r="C9" s="123" t="s">
        <v>142</v>
      </c>
      <c r="D9" s="123"/>
      <c r="E9" s="12">
        <v>40952</v>
      </c>
      <c r="F9" s="123"/>
      <c r="G9" s="12">
        <v>3935</v>
      </c>
      <c r="H9" s="123"/>
      <c r="I9" s="12">
        <v>0</v>
      </c>
      <c r="J9" s="123"/>
      <c r="K9" s="355">
        <v>0</v>
      </c>
      <c r="L9" s="123"/>
      <c r="M9" s="12">
        <f t="shared" ref="M9:M27" si="0">I9+K9</f>
        <v>0</v>
      </c>
      <c r="N9" s="123"/>
      <c r="O9" s="12">
        <v>161146120</v>
      </c>
      <c r="P9" s="123"/>
      <c r="Q9" s="355">
        <v>0</v>
      </c>
      <c r="R9" s="123"/>
      <c r="S9" s="12">
        <f t="shared" ref="S9:S27" si="1">O9+Q9</f>
        <v>161146120</v>
      </c>
    </row>
    <row r="10" spans="1:19" ht="18">
      <c r="A10" s="123" t="s">
        <v>98</v>
      </c>
      <c r="B10" s="123"/>
      <c r="C10" s="123" t="s">
        <v>143</v>
      </c>
      <c r="D10" s="123"/>
      <c r="E10" s="12">
        <v>43844</v>
      </c>
      <c r="F10" s="123"/>
      <c r="G10" s="12">
        <v>5600</v>
      </c>
      <c r="H10" s="123"/>
      <c r="I10" s="12">
        <v>0</v>
      </c>
      <c r="J10" s="123"/>
      <c r="K10" s="355">
        <v>0</v>
      </c>
      <c r="L10" s="123"/>
      <c r="M10" s="12">
        <f t="shared" si="0"/>
        <v>0</v>
      </c>
      <c r="N10" s="123"/>
      <c r="O10" s="12">
        <v>245526400</v>
      </c>
      <c r="P10" s="123"/>
      <c r="Q10" s="355">
        <v>0</v>
      </c>
      <c r="R10" s="123"/>
      <c r="S10" s="12">
        <f t="shared" si="1"/>
        <v>245526400</v>
      </c>
    </row>
    <row r="11" spans="1:19" ht="18">
      <c r="A11" s="123" t="s">
        <v>121</v>
      </c>
      <c r="B11" s="123"/>
      <c r="C11" s="123" t="s">
        <v>144</v>
      </c>
      <c r="D11" s="123"/>
      <c r="E11" s="12">
        <v>300000</v>
      </c>
      <c r="F11" s="123"/>
      <c r="G11" s="12">
        <v>1920</v>
      </c>
      <c r="H11" s="123"/>
      <c r="I11" s="12">
        <v>0</v>
      </c>
      <c r="J11" s="123"/>
      <c r="K11" s="355">
        <v>0</v>
      </c>
      <c r="L11" s="123"/>
      <c r="M11" s="12">
        <f t="shared" si="0"/>
        <v>0</v>
      </c>
      <c r="N11" s="123"/>
      <c r="O11" s="12">
        <v>576000000</v>
      </c>
      <c r="P11" s="123"/>
      <c r="Q11" s="355">
        <v>-394251</v>
      </c>
      <c r="R11" s="123"/>
      <c r="S11" s="12">
        <f t="shared" si="1"/>
        <v>575605749</v>
      </c>
    </row>
    <row r="12" spans="1:19" ht="18">
      <c r="A12" s="123" t="s">
        <v>140</v>
      </c>
      <c r="B12" s="123"/>
      <c r="C12" s="123" t="s">
        <v>145</v>
      </c>
      <c r="D12" s="123"/>
      <c r="E12" s="12">
        <v>625000</v>
      </c>
      <c r="F12" s="123"/>
      <c r="G12" s="12">
        <v>3000</v>
      </c>
      <c r="H12" s="123"/>
      <c r="I12" s="12">
        <v>0</v>
      </c>
      <c r="J12" s="123"/>
      <c r="K12" s="355">
        <v>0</v>
      </c>
      <c r="L12" s="123"/>
      <c r="M12" s="12">
        <f t="shared" si="0"/>
        <v>0</v>
      </c>
      <c r="N12" s="123"/>
      <c r="O12" s="12">
        <v>1875000000</v>
      </c>
      <c r="P12" s="123"/>
      <c r="Q12" s="355">
        <v>0</v>
      </c>
      <c r="R12" s="123"/>
      <c r="S12" s="12">
        <f t="shared" si="1"/>
        <v>1875000000</v>
      </c>
    </row>
    <row r="13" spans="1:19" ht="18">
      <c r="A13" s="234" t="s">
        <v>122</v>
      </c>
      <c r="B13" s="123"/>
      <c r="C13" s="123" t="s">
        <v>146</v>
      </c>
      <c r="D13" s="123"/>
      <c r="E13" s="12">
        <v>64886</v>
      </c>
      <c r="F13" s="123"/>
      <c r="G13" s="12">
        <v>1850</v>
      </c>
      <c r="H13" s="123"/>
      <c r="I13" s="12">
        <v>0</v>
      </c>
      <c r="J13" s="123"/>
      <c r="K13" s="355">
        <v>0</v>
      </c>
      <c r="L13" s="123"/>
      <c r="M13" s="12">
        <f t="shared" si="0"/>
        <v>0</v>
      </c>
      <c r="N13" s="123"/>
      <c r="O13" s="12">
        <v>120039100</v>
      </c>
      <c r="P13" s="123"/>
      <c r="Q13" s="355">
        <v>0</v>
      </c>
      <c r="R13" s="123"/>
      <c r="S13" s="12">
        <f t="shared" si="1"/>
        <v>120039100</v>
      </c>
    </row>
    <row r="14" spans="1:19" ht="18">
      <c r="A14" s="123" t="s">
        <v>124</v>
      </c>
      <c r="B14" s="123"/>
      <c r="C14" s="123" t="s">
        <v>146</v>
      </c>
      <c r="D14" s="123"/>
      <c r="E14" s="12">
        <v>572500</v>
      </c>
      <c r="F14" s="123"/>
      <c r="G14" s="12">
        <v>1350</v>
      </c>
      <c r="H14" s="123"/>
      <c r="I14" s="12">
        <v>0</v>
      </c>
      <c r="J14" s="123"/>
      <c r="K14" s="355">
        <v>0</v>
      </c>
      <c r="L14" s="123"/>
      <c r="M14" s="12">
        <f t="shared" si="0"/>
        <v>0</v>
      </c>
      <c r="N14" s="123"/>
      <c r="O14" s="12">
        <v>772875000</v>
      </c>
      <c r="P14" s="123"/>
      <c r="Q14" s="355">
        <v>0</v>
      </c>
      <c r="R14" s="123"/>
      <c r="S14" s="12">
        <f t="shared" si="1"/>
        <v>772875000</v>
      </c>
    </row>
    <row r="15" spans="1:19" ht="18">
      <c r="A15" s="123" t="s">
        <v>101</v>
      </c>
      <c r="B15" s="123"/>
      <c r="C15" s="123" t="s">
        <v>147</v>
      </c>
      <c r="D15" s="123"/>
      <c r="E15" s="12">
        <v>40877</v>
      </c>
      <c r="F15" s="123"/>
      <c r="G15" s="12">
        <v>4070</v>
      </c>
      <c r="H15" s="123"/>
      <c r="I15" s="12">
        <v>0</v>
      </c>
      <c r="J15" s="123"/>
      <c r="K15" s="355">
        <v>0</v>
      </c>
      <c r="L15" s="123"/>
      <c r="M15" s="12">
        <f t="shared" si="0"/>
        <v>0</v>
      </c>
      <c r="N15" s="123"/>
      <c r="O15" s="12">
        <v>166369390</v>
      </c>
      <c r="P15" s="123"/>
      <c r="Q15" s="355">
        <v>0</v>
      </c>
      <c r="R15" s="123"/>
      <c r="S15" s="12">
        <f t="shared" si="1"/>
        <v>166369390</v>
      </c>
    </row>
    <row r="16" spans="1:19" ht="18">
      <c r="A16" s="123" t="s">
        <v>109</v>
      </c>
      <c r="B16" s="123"/>
      <c r="C16" s="123" t="s">
        <v>148</v>
      </c>
      <c r="D16" s="123"/>
      <c r="E16" s="12">
        <v>337658</v>
      </c>
      <c r="F16" s="123"/>
      <c r="G16" s="12">
        <v>1060</v>
      </c>
      <c r="H16" s="123"/>
      <c r="I16" s="12">
        <v>0</v>
      </c>
      <c r="J16" s="123"/>
      <c r="K16" s="355">
        <v>0</v>
      </c>
      <c r="L16" s="123"/>
      <c r="M16" s="12">
        <f t="shared" si="0"/>
        <v>0</v>
      </c>
      <c r="N16" s="123"/>
      <c r="O16" s="12">
        <v>357917480</v>
      </c>
      <c r="P16" s="123"/>
      <c r="Q16" s="355">
        <v>0</v>
      </c>
      <c r="R16" s="123"/>
      <c r="S16" s="12">
        <f t="shared" si="1"/>
        <v>357917480</v>
      </c>
    </row>
    <row r="17" spans="1:19" ht="18">
      <c r="A17" s="123" t="s">
        <v>102</v>
      </c>
      <c r="B17" s="123"/>
      <c r="C17" s="123" t="s">
        <v>149</v>
      </c>
      <c r="D17" s="123"/>
      <c r="E17" s="12">
        <v>64355</v>
      </c>
      <c r="F17" s="123"/>
      <c r="G17" s="12">
        <v>1900</v>
      </c>
      <c r="H17" s="123"/>
      <c r="I17" s="12">
        <v>0</v>
      </c>
      <c r="J17" s="123"/>
      <c r="K17" s="355">
        <v>0</v>
      </c>
      <c r="L17" s="123"/>
      <c r="M17" s="12">
        <f t="shared" si="0"/>
        <v>0</v>
      </c>
      <c r="N17" s="123"/>
      <c r="O17" s="12">
        <v>122274500</v>
      </c>
      <c r="P17" s="123"/>
      <c r="Q17" s="355">
        <v>0</v>
      </c>
      <c r="R17" s="123"/>
      <c r="S17" s="12">
        <f t="shared" si="1"/>
        <v>122274500</v>
      </c>
    </row>
    <row r="18" spans="1:19" ht="18">
      <c r="A18" s="123" t="s">
        <v>87</v>
      </c>
      <c r="B18" s="123"/>
      <c r="C18" s="123" t="s">
        <v>138</v>
      </c>
      <c r="D18" s="123"/>
      <c r="E18" s="12">
        <v>158661</v>
      </c>
      <c r="F18" s="123"/>
      <c r="G18" s="12">
        <v>1630</v>
      </c>
      <c r="H18" s="123"/>
      <c r="I18" s="12">
        <v>0</v>
      </c>
      <c r="J18" s="123"/>
      <c r="K18" s="355">
        <v>0</v>
      </c>
      <c r="L18" s="123"/>
      <c r="M18" s="12">
        <f t="shared" si="0"/>
        <v>0</v>
      </c>
      <c r="N18" s="123"/>
      <c r="O18" s="12">
        <v>258617430</v>
      </c>
      <c r="P18" s="123"/>
      <c r="Q18" s="355">
        <v>0</v>
      </c>
      <c r="R18" s="123"/>
      <c r="S18" s="12">
        <f t="shared" si="1"/>
        <v>258617430</v>
      </c>
    </row>
    <row r="19" spans="1:19" ht="18">
      <c r="A19" s="123" t="s">
        <v>91</v>
      </c>
      <c r="B19" s="123"/>
      <c r="C19" s="123" t="s">
        <v>155</v>
      </c>
      <c r="D19" s="123"/>
      <c r="E19" s="12">
        <v>76199</v>
      </c>
      <c r="F19" s="123"/>
      <c r="G19" s="12">
        <v>4660</v>
      </c>
      <c r="H19" s="123"/>
      <c r="I19" s="12">
        <v>0</v>
      </c>
      <c r="J19" s="123"/>
      <c r="K19" s="355">
        <v>0</v>
      </c>
      <c r="L19" s="123"/>
      <c r="M19" s="12">
        <f t="shared" si="0"/>
        <v>0</v>
      </c>
      <c r="N19" s="123"/>
      <c r="O19" s="12">
        <v>355087340</v>
      </c>
      <c r="P19" s="123"/>
      <c r="Q19" s="355">
        <v>0</v>
      </c>
      <c r="R19" s="123"/>
      <c r="S19" s="12">
        <f t="shared" si="1"/>
        <v>355087340</v>
      </c>
    </row>
    <row r="20" spans="1:19" ht="18">
      <c r="A20" s="123" t="s">
        <v>125</v>
      </c>
      <c r="B20" s="123"/>
      <c r="C20" s="123" t="s">
        <v>156</v>
      </c>
      <c r="D20" s="123"/>
      <c r="E20" s="12">
        <v>200000</v>
      </c>
      <c r="F20" s="123"/>
      <c r="G20" s="12">
        <v>250</v>
      </c>
      <c r="H20" s="123"/>
      <c r="I20" s="12">
        <v>0</v>
      </c>
      <c r="J20" s="123"/>
      <c r="K20" s="355">
        <v>0</v>
      </c>
      <c r="L20" s="123"/>
      <c r="M20" s="12">
        <f t="shared" si="0"/>
        <v>0</v>
      </c>
      <c r="N20" s="123"/>
      <c r="O20" s="12">
        <v>50000000</v>
      </c>
      <c r="P20" s="123"/>
      <c r="Q20" s="355">
        <v>0</v>
      </c>
      <c r="R20" s="123"/>
      <c r="S20" s="12">
        <f t="shared" si="1"/>
        <v>50000000</v>
      </c>
    </row>
    <row r="21" spans="1:19" ht="18">
      <c r="A21" s="123" t="s">
        <v>89</v>
      </c>
      <c r="B21" s="123"/>
      <c r="C21" s="123" t="s">
        <v>157</v>
      </c>
      <c r="D21" s="123"/>
      <c r="E21" s="12">
        <v>180232</v>
      </c>
      <c r="F21" s="123"/>
      <c r="G21" s="12">
        <v>2000</v>
      </c>
      <c r="H21" s="123"/>
      <c r="I21" s="12">
        <v>0</v>
      </c>
      <c r="J21" s="123"/>
      <c r="K21" s="355">
        <v>0</v>
      </c>
      <c r="L21" s="123"/>
      <c r="M21" s="12">
        <f t="shared" si="0"/>
        <v>0</v>
      </c>
      <c r="N21" s="123"/>
      <c r="O21" s="12">
        <v>360464000</v>
      </c>
      <c r="P21" s="123"/>
      <c r="Q21" s="355">
        <v>0</v>
      </c>
      <c r="R21" s="123"/>
      <c r="S21" s="12">
        <f t="shared" si="1"/>
        <v>360464000</v>
      </c>
    </row>
    <row r="22" spans="1:19" ht="18">
      <c r="A22" s="123" t="s">
        <v>139</v>
      </c>
      <c r="B22" s="123"/>
      <c r="C22" s="123" t="s">
        <v>158</v>
      </c>
      <c r="D22" s="123"/>
      <c r="E22" s="12">
        <v>67316</v>
      </c>
      <c r="F22" s="123"/>
      <c r="G22" s="12">
        <v>2150</v>
      </c>
      <c r="H22" s="123"/>
      <c r="I22" s="12">
        <v>0</v>
      </c>
      <c r="J22" s="123"/>
      <c r="K22" s="355">
        <v>0</v>
      </c>
      <c r="L22" s="123"/>
      <c r="M22" s="12">
        <f t="shared" si="0"/>
        <v>0</v>
      </c>
      <c r="N22" s="123"/>
      <c r="O22" s="12">
        <v>144729400</v>
      </c>
      <c r="P22" s="123"/>
      <c r="Q22" s="355">
        <v>-1471824</v>
      </c>
      <c r="R22" s="123"/>
      <c r="S22" s="12">
        <f t="shared" si="1"/>
        <v>143257576</v>
      </c>
    </row>
    <row r="23" spans="1:19" ht="18">
      <c r="A23" s="123" t="s">
        <v>94</v>
      </c>
      <c r="B23" s="123"/>
      <c r="C23" s="123" t="s">
        <v>159</v>
      </c>
      <c r="D23" s="123"/>
      <c r="E23" s="12">
        <v>773862</v>
      </c>
      <c r="F23" s="123"/>
      <c r="G23" s="12">
        <v>300</v>
      </c>
      <c r="H23" s="123"/>
      <c r="I23" s="12">
        <v>0</v>
      </c>
      <c r="J23" s="123"/>
      <c r="K23" s="355">
        <v>0</v>
      </c>
      <c r="L23" s="123"/>
      <c r="M23" s="12">
        <f t="shared" si="0"/>
        <v>0</v>
      </c>
      <c r="N23" s="123"/>
      <c r="O23" s="12">
        <v>232158600</v>
      </c>
      <c r="P23" s="123"/>
      <c r="Q23" s="355">
        <v>0</v>
      </c>
      <c r="R23" s="123"/>
      <c r="S23" s="12">
        <f t="shared" si="1"/>
        <v>232158600</v>
      </c>
    </row>
    <row r="24" spans="1:19" ht="18">
      <c r="A24" s="123" t="s">
        <v>120</v>
      </c>
      <c r="B24" s="123"/>
      <c r="C24" s="123" t="s">
        <v>159</v>
      </c>
      <c r="D24" s="123"/>
      <c r="E24" s="12">
        <v>227817</v>
      </c>
      <c r="F24" s="123"/>
      <c r="G24" s="12">
        <v>1680</v>
      </c>
      <c r="H24" s="123"/>
      <c r="I24" s="12">
        <v>0</v>
      </c>
      <c r="J24" s="123"/>
      <c r="K24" s="355">
        <v>0</v>
      </c>
      <c r="L24" s="123"/>
      <c r="M24" s="12">
        <f t="shared" si="0"/>
        <v>0</v>
      </c>
      <c r="N24" s="123"/>
      <c r="O24" s="12">
        <v>382732560</v>
      </c>
      <c r="P24" s="123"/>
      <c r="Q24" s="355">
        <v>-1306254</v>
      </c>
      <c r="R24" s="123"/>
      <c r="S24" s="12">
        <f t="shared" si="1"/>
        <v>381426306</v>
      </c>
    </row>
    <row r="25" spans="1:19" ht="18">
      <c r="A25" s="123" t="s">
        <v>90</v>
      </c>
      <c r="B25" s="123"/>
      <c r="C25" s="123" t="s">
        <v>160</v>
      </c>
      <c r="D25" s="123"/>
      <c r="E25" s="12">
        <v>208254</v>
      </c>
      <c r="F25" s="123"/>
      <c r="G25" s="12">
        <v>2920</v>
      </c>
      <c r="H25" s="123"/>
      <c r="I25" s="12">
        <v>0</v>
      </c>
      <c r="J25" s="123"/>
      <c r="K25" s="355">
        <v>0</v>
      </c>
      <c r="L25" s="123"/>
      <c r="M25" s="12">
        <f t="shared" si="0"/>
        <v>0</v>
      </c>
      <c r="N25" s="123"/>
      <c r="O25" s="12">
        <v>608101680</v>
      </c>
      <c r="P25" s="123"/>
      <c r="Q25" s="355">
        <v>0</v>
      </c>
      <c r="R25" s="123"/>
      <c r="S25" s="12">
        <f t="shared" si="1"/>
        <v>608101680</v>
      </c>
    </row>
    <row r="26" spans="1:19" ht="18">
      <c r="A26" s="123" t="s">
        <v>110</v>
      </c>
      <c r="B26" s="123"/>
      <c r="C26" s="123" t="s">
        <v>170</v>
      </c>
      <c r="D26" s="123"/>
      <c r="E26" s="12">
        <v>1610871</v>
      </c>
      <c r="F26" s="123"/>
      <c r="G26" s="12">
        <v>420</v>
      </c>
      <c r="H26" s="123"/>
      <c r="I26" s="12">
        <v>676565820</v>
      </c>
      <c r="J26" s="123"/>
      <c r="K26" s="355">
        <v>-6880330</v>
      </c>
      <c r="L26" s="123"/>
      <c r="M26" s="12">
        <f t="shared" si="0"/>
        <v>669685490</v>
      </c>
      <c r="N26" s="123"/>
      <c r="O26" s="12">
        <v>676565820</v>
      </c>
      <c r="P26" s="123"/>
      <c r="Q26" s="355">
        <v>-6880330</v>
      </c>
      <c r="R26" s="123"/>
      <c r="S26" s="12">
        <f t="shared" si="1"/>
        <v>669685490</v>
      </c>
    </row>
    <row r="27" spans="1:19" ht="18">
      <c r="A27" s="123" t="s">
        <v>92</v>
      </c>
      <c r="B27" s="123"/>
      <c r="C27" s="123" t="s">
        <v>171</v>
      </c>
      <c r="D27" s="123"/>
      <c r="E27" s="12">
        <v>552673</v>
      </c>
      <c r="F27" s="123"/>
      <c r="G27" s="12">
        <v>1800</v>
      </c>
      <c r="H27" s="123"/>
      <c r="I27" s="12">
        <v>994811400</v>
      </c>
      <c r="J27" s="123"/>
      <c r="K27" s="355">
        <v>-44271712</v>
      </c>
      <c r="L27" s="123"/>
      <c r="M27" s="12">
        <f t="shared" si="0"/>
        <v>950539688</v>
      </c>
      <c r="N27" s="123"/>
      <c r="O27" s="12">
        <v>994811400</v>
      </c>
      <c r="P27" s="123"/>
      <c r="Q27" s="355">
        <v>-44271712</v>
      </c>
      <c r="R27" s="123"/>
      <c r="S27" s="12">
        <f t="shared" si="1"/>
        <v>950539688</v>
      </c>
    </row>
    <row r="28" spans="1:19" ht="18.75" thickBot="1">
      <c r="A28" s="210" t="s">
        <v>82</v>
      </c>
      <c r="G28" s="23"/>
      <c r="I28" s="67">
        <f>SUM(I8:I27)</f>
        <v>1671377220</v>
      </c>
      <c r="J28" s="210"/>
      <c r="K28" s="67">
        <f>SUM(K8:K27)</f>
        <v>-51152042</v>
      </c>
      <c r="L28" s="210"/>
      <c r="M28" s="67">
        <f>SUM(M8:M27)</f>
        <v>1620225178</v>
      </c>
      <c r="N28" s="210"/>
      <c r="O28" s="67">
        <f>SUM(O8:O27)</f>
        <v>8460418168</v>
      </c>
      <c r="P28" s="210"/>
      <c r="Q28" s="67">
        <f>SUM(Q8:Q27)</f>
        <v>-54324371</v>
      </c>
      <c r="R28" s="210"/>
      <c r="S28" s="67">
        <f>SUM(S8:S27)</f>
        <v>8406093797</v>
      </c>
    </row>
    <row r="29" spans="1:19" s="12" customFormat="1" ht="18.75" thickTop="1"/>
    <row r="30" spans="1:19" s="12" customFormat="1" ht="16.5" customHeight="1"/>
    <row r="31" spans="1:19" s="12" customFormat="1" ht="18"/>
    <row r="32" spans="1:19" s="12" customFormat="1" ht="18"/>
    <row r="33" s="12" customFormat="1" ht="18"/>
    <row r="34" s="12" customFormat="1" ht="18"/>
    <row r="35" s="12" customFormat="1" ht="18"/>
    <row r="36" s="12" customFormat="1" ht="18"/>
    <row r="37" s="12" customFormat="1" ht="18"/>
    <row r="38" s="12" customFormat="1" ht="18"/>
    <row r="39" s="12" customFormat="1" ht="18"/>
    <row r="40" s="12" customFormat="1" ht="18"/>
    <row r="41" s="12" customFormat="1" ht="18"/>
  </sheetData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AA32"/>
  <sheetViews>
    <sheetView rightToLeft="1" view="pageBreakPreview" zoomScale="70" zoomScaleNormal="100" zoomScaleSheetLayoutView="70" workbookViewId="0">
      <selection activeCell="T17" sqref="T17"/>
    </sheetView>
  </sheetViews>
  <sheetFormatPr defaultColWidth="9.140625" defaultRowHeight="21.75"/>
  <cols>
    <col min="1" max="1" width="50.85546875" style="56" customWidth="1"/>
    <col min="2" max="2" width="15.5703125" style="56" bestFit="1" customWidth="1"/>
    <col min="3" max="3" width="0.85546875" style="56" customWidth="1"/>
    <col min="4" max="4" width="14" style="56" bestFit="1" customWidth="1"/>
    <col min="5" max="5" width="1.28515625" style="56" customWidth="1"/>
    <col min="6" max="6" width="12.42578125" style="56" customWidth="1"/>
    <col min="7" max="7" width="1" style="56" customWidth="1"/>
    <col min="8" max="8" width="25" style="22" bestFit="1" customWidth="1"/>
    <col min="9" max="9" width="0.85546875" style="22" customWidth="1"/>
    <col min="10" max="10" width="25" style="22" bestFit="1" customWidth="1"/>
    <col min="11" max="11" width="0.7109375" style="22" customWidth="1"/>
    <col min="12" max="12" width="23.140625" style="22" bestFit="1" customWidth="1"/>
    <col min="13" max="13" width="0.7109375" style="22" customWidth="1"/>
    <col min="14" max="14" width="23.140625" style="22" bestFit="1" customWidth="1"/>
    <col min="15" max="15" width="0.5703125" style="22" customWidth="1"/>
    <col min="16" max="16" width="17" style="22" bestFit="1" customWidth="1"/>
    <col min="17" max="17" width="0.5703125" style="22" customWidth="1"/>
    <col min="18" max="18" width="23.140625" style="22" bestFit="1" customWidth="1"/>
    <col min="19" max="19" width="14.28515625" style="117" bestFit="1" customWidth="1"/>
    <col min="20" max="20" width="15.85546875" style="117" bestFit="1" customWidth="1"/>
    <col min="21" max="21" width="11.28515625" style="117" bestFit="1" customWidth="1"/>
    <col min="22" max="22" width="14.42578125" style="117" bestFit="1" customWidth="1"/>
    <col min="23" max="27" width="9.140625" style="117"/>
    <col min="28" max="16384" width="9.140625" style="56"/>
  </cols>
  <sheetData>
    <row r="1" spans="1:27" ht="24.75">
      <c r="A1" s="333" t="s">
        <v>86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1:27" ht="24.75">
      <c r="A2" s="333" t="s">
        <v>52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</row>
    <row r="3" spans="1:27" ht="24.75">
      <c r="A3" s="333" t="str">
        <f>' سهام'!$A$3</f>
        <v>برای ماه منتهی به 1403/07/30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</row>
    <row r="4" spans="1:27" ht="24.75">
      <c r="A4" s="115"/>
      <c r="B4" s="127"/>
      <c r="C4" s="127"/>
      <c r="D4" s="127"/>
      <c r="E4" s="127"/>
      <c r="F4" s="127"/>
      <c r="G4" s="127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27" ht="24.75" customHeight="1">
      <c r="A5" s="334" t="s">
        <v>151</v>
      </c>
      <c r="B5" s="334"/>
      <c r="C5" s="334"/>
      <c r="D5" s="334"/>
      <c r="E5" s="334"/>
      <c r="F5" s="334"/>
      <c r="G5" s="334"/>
      <c r="H5" s="334"/>
      <c r="I5" s="19"/>
      <c r="J5" s="20"/>
      <c r="K5" s="20"/>
      <c r="L5" s="20"/>
      <c r="M5" s="20"/>
      <c r="N5" s="20"/>
      <c r="O5" s="20"/>
      <c r="P5" s="20"/>
      <c r="Q5" s="20"/>
      <c r="R5" s="20"/>
    </row>
    <row r="6" spans="1:27" ht="46.5" customHeight="1" thickBot="1">
      <c r="A6" s="63"/>
      <c r="B6" s="128"/>
      <c r="C6" s="128"/>
      <c r="D6" s="128"/>
      <c r="E6" s="128"/>
      <c r="F6" s="128"/>
      <c r="G6" s="129"/>
      <c r="H6" s="332" t="str">
        <f>'درآمد سرمایه گذاری در سهام '!C7</f>
        <v>طی مهر ماه</v>
      </c>
      <c r="I6" s="332"/>
      <c r="J6" s="332"/>
      <c r="K6" s="332"/>
      <c r="L6" s="332"/>
      <c r="M6" s="20"/>
      <c r="N6" s="332" t="str">
        <f>'درآمد سرمایه گذاری در سهام '!M7</f>
        <v>از ابتدای سال مالی تا پایان مهر ماه</v>
      </c>
      <c r="O6" s="332"/>
      <c r="P6" s="332"/>
      <c r="Q6" s="332"/>
      <c r="R6" s="332"/>
    </row>
    <row r="7" spans="1:27" ht="46.5" customHeight="1" thickBot="1">
      <c r="A7" s="65" t="s">
        <v>33</v>
      </c>
      <c r="B7" s="66" t="s">
        <v>36</v>
      </c>
      <c r="C7" s="129"/>
      <c r="D7" s="66" t="s">
        <v>20</v>
      </c>
      <c r="E7" s="129"/>
      <c r="F7" s="66" t="s">
        <v>153</v>
      </c>
      <c r="G7" s="64"/>
      <c r="H7" s="21" t="s">
        <v>53</v>
      </c>
      <c r="I7" s="116"/>
      <c r="J7" s="21" t="s">
        <v>35</v>
      </c>
      <c r="K7" s="116"/>
      <c r="L7" s="21" t="s">
        <v>37</v>
      </c>
      <c r="M7" s="20"/>
      <c r="N7" s="21" t="s">
        <v>53</v>
      </c>
      <c r="O7" s="116"/>
      <c r="P7" s="21" t="s">
        <v>35</v>
      </c>
      <c r="Q7" s="116"/>
      <c r="R7" s="21" t="s">
        <v>37</v>
      </c>
      <c r="S7" s="118"/>
      <c r="T7" s="119"/>
      <c r="U7" s="120"/>
    </row>
    <row r="8" spans="1:27" s="57" customFormat="1" ht="46.5" customHeight="1">
      <c r="A8" s="72" t="s">
        <v>85</v>
      </c>
      <c r="B8" s="12">
        <v>0</v>
      </c>
      <c r="C8" s="129"/>
      <c r="D8" s="12">
        <v>0</v>
      </c>
      <c r="E8" s="64"/>
      <c r="F8" s="12">
        <v>0</v>
      </c>
      <c r="G8" s="64"/>
      <c r="H8" s="12">
        <v>0</v>
      </c>
      <c r="I8" s="32"/>
      <c r="J8" s="32">
        <v>0</v>
      </c>
      <c r="K8" s="32"/>
      <c r="L8" s="32">
        <f>H8+J8</f>
        <v>0</v>
      </c>
      <c r="M8" s="32"/>
      <c r="N8" s="32">
        <v>0</v>
      </c>
      <c r="O8" s="32"/>
      <c r="P8" s="32">
        <v>0</v>
      </c>
      <c r="Q8" s="32"/>
      <c r="R8" s="32">
        <f>N8+P8</f>
        <v>0</v>
      </c>
      <c r="S8" s="117"/>
      <c r="T8" s="121"/>
      <c r="U8" s="117"/>
      <c r="V8" s="117"/>
      <c r="W8" s="117"/>
      <c r="X8" s="117"/>
      <c r="Y8" s="117"/>
      <c r="Z8" s="117"/>
      <c r="AA8" s="117"/>
    </row>
    <row r="9" spans="1:27" ht="46.5" customHeight="1" thickBot="1">
      <c r="A9" s="72"/>
      <c r="B9" s="32"/>
      <c r="C9" s="130"/>
      <c r="D9" s="131"/>
      <c r="E9" s="132"/>
      <c r="F9" s="133"/>
      <c r="G9" s="64"/>
      <c r="H9" s="67">
        <f>SUM(H8:H8)</f>
        <v>0</v>
      </c>
      <c r="I9" s="68"/>
      <c r="J9" s="74">
        <f>SUM(J8:J8)</f>
        <v>0</v>
      </c>
      <c r="K9" s="68"/>
      <c r="L9" s="74">
        <f>SUM(L8:L8)</f>
        <v>0</v>
      </c>
      <c r="M9" s="68"/>
      <c r="N9" s="74">
        <f>SUM(N8:N8)</f>
        <v>0</v>
      </c>
      <c r="O9" s="68"/>
      <c r="P9" s="74">
        <f>SUM(P8:P8)</f>
        <v>0</v>
      </c>
      <c r="Q9" s="75" t="e">
        <f>SUM(#REF!)</f>
        <v>#REF!</v>
      </c>
      <c r="R9" s="74">
        <f>SUM(R8:R8)</f>
        <v>0</v>
      </c>
    </row>
    <row r="10" spans="1:27" ht="47.45" customHeight="1" thickTop="1">
      <c r="B10" s="32"/>
      <c r="C10" s="130"/>
      <c r="D10" s="131"/>
      <c r="E10" s="132"/>
      <c r="F10" s="133"/>
      <c r="G10" s="64"/>
      <c r="I10" s="57"/>
      <c r="K10" s="57"/>
      <c r="M10" s="57"/>
      <c r="O10" s="57"/>
    </row>
    <row r="11" spans="1:27" ht="24">
      <c r="B11" s="64"/>
      <c r="C11" s="64"/>
      <c r="D11" s="64"/>
      <c r="E11" s="64"/>
      <c r="F11" s="64"/>
      <c r="I11" s="57"/>
      <c r="K11" s="57"/>
      <c r="M11" s="57"/>
      <c r="O11" s="57"/>
    </row>
    <row r="12" spans="1:27">
      <c r="H12" s="55"/>
      <c r="I12" s="57"/>
      <c r="K12" s="57"/>
      <c r="M12" s="57"/>
    </row>
    <row r="13" spans="1:27" s="1" customFormat="1" ht="24">
      <c r="B13" s="56"/>
      <c r="C13" s="56"/>
      <c r="D13" s="56"/>
      <c r="E13" s="56"/>
      <c r="F13" s="56"/>
      <c r="G13" s="64"/>
      <c r="H13" s="61"/>
      <c r="J13" s="62"/>
      <c r="L13" s="23"/>
      <c r="N13" s="24"/>
      <c r="P13" s="61"/>
      <c r="R13" s="12"/>
      <c r="S13" s="117"/>
      <c r="T13" s="117"/>
      <c r="U13" s="117"/>
      <c r="V13" s="117"/>
      <c r="W13" s="117"/>
      <c r="X13" s="117"/>
      <c r="Y13" s="117"/>
      <c r="Z13" s="117"/>
      <c r="AA13" s="117"/>
    </row>
    <row r="14" spans="1:27" s="1" customFormat="1" ht="24">
      <c r="B14" s="64"/>
      <c r="C14" s="64"/>
      <c r="D14" s="64"/>
      <c r="E14" s="64"/>
      <c r="F14" s="64"/>
      <c r="G14" s="64"/>
      <c r="H14" s="25"/>
      <c r="I14" s="60"/>
      <c r="J14" s="60"/>
      <c r="L14" s="23"/>
      <c r="N14" s="25"/>
      <c r="P14" s="60"/>
      <c r="R14" s="12"/>
      <c r="S14" s="117"/>
      <c r="T14" s="117"/>
      <c r="U14" s="117"/>
      <c r="V14" s="117"/>
      <c r="W14" s="117"/>
      <c r="X14" s="117"/>
      <c r="Y14" s="117"/>
      <c r="Z14" s="117"/>
      <c r="AA14" s="117"/>
    </row>
    <row r="15" spans="1:27" ht="24">
      <c r="B15" s="64"/>
      <c r="C15" s="64"/>
      <c r="D15" s="64"/>
      <c r="E15" s="64"/>
      <c r="F15" s="64"/>
      <c r="G15" s="64"/>
      <c r="H15" s="16"/>
      <c r="I15" s="57"/>
      <c r="K15" s="57"/>
      <c r="L15" s="12"/>
      <c r="N15" s="16"/>
      <c r="R15" s="12"/>
    </row>
    <row r="16" spans="1:27" ht="24">
      <c r="B16" s="64"/>
      <c r="C16" s="64"/>
      <c r="D16" s="64"/>
      <c r="E16" s="64"/>
      <c r="F16" s="64"/>
      <c r="G16" s="64"/>
      <c r="H16" s="16"/>
      <c r="K16" s="57"/>
      <c r="L16" s="12"/>
      <c r="N16" s="26"/>
      <c r="R16" s="12"/>
    </row>
    <row r="17" spans="2:21" ht="24">
      <c r="B17" s="64"/>
      <c r="C17" s="64"/>
      <c r="D17" s="64"/>
      <c r="E17" s="64"/>
      <c r="F17" s="64"/>
      <c r="G17" s="64"/>
      <c r="L17" s="12"/>
      <c r="R17" s="12"/>
    </row>
    <row r="18" spans="2:21" ht="24">
      <c r="B18" s="64"/>
      <c r="C18" s="64"/>
      <c r="D18" s="64"/>
      <c r="E18" s="64"/>
      <c r="F18" s="124"/>
      <c r="G18" s="64"/>
      <c r="L18" s="12"/>
      <c r="R18" s="12"/>
    </row>
    <row r="19" spans="2:21" ht="24">
      <c r="B19" s="64"/>
      <c r="C19" s="64"/>
      <c r="D19" s="64"/>
      <c r="E19" s="64"/>
      <c r="F19" s="125"/>
      <c r="G19" s="64"/>
      <c r="L19" s="12"/>
      <c r="R19" s="12"/>
    </row>
    <row r="20" spans="2:21" ht="24">
      <c r="B20" s="64"/>
      <c r="C20" s="64"/>
      <c r="D20" s="64"/>
      <c r="E20" s="64"/>
      <c r="F20" s="125"/>
      <c r="G20" s="64"/>
      <c r="L20" s="12"/>
      <c r="R20" s="12"/>
    </row>
    <row r="21" spans="2:21" ht="24">
      <c r="B21" s="64"/>
      <c r="C21" s="64"/>
      <c r="D21" s="64"/>
      <c r="E21" s="64"/>
      <c r="F21" s="64"/>
      <c r="G21" s="64"/>
    </row>
    <row r="22" spans="2:21" ht="24">
      <c r="B22" s="64"/>
      <c r="C22" s="64"/>
      <c r="D22" s="64"/>
      <c r="E22" s="64"/>
      <c r="F22" s="64"/>
      <c r="G22" s="64"/>
    </row>
    <row r="23" spans="2:21" ht="24">
      <c r="B23" s="64"/>
      <c r="C23" s="64"/>
      <c r="D23" s="64"/>
      <c r="E23" s="64"/>
      <c r="F23" s="64"/>
      <c r="G23" s="64"/>
    </row>
    <row r="24" spans="2:21" ht="24">
      <c r="B24" s="64"/>
      <c r="C24" s="64"/>
      <c r="D24" s="64"/>
      <c r="E24" s="64"/>
      <c r="F24" s="64"/>
      <c r="G24" s="64"/>
    </row>
    <row r="25" spans="2:21" ht="24">
      <c r="B25" s="64"/>
      <c r="C25" s="64"/>
      <c r="D25" s="64"/>
      <c r="E25" s="64"/>
      <c r="F25" s="64"/>
      <c r="G25" s="64"/>
    </row>
    <row r="26" spans="2:21" ht="24">
      <c r="B26" s="64"/>
      <c r="C26" s="64"/>
      <c r="D26" s="64"/>
      <c r="E26" s="64"/>
      <c r="F26" s="64"/>
      <c r="G26" s="64"/>
    </row>
    <row r="27" spans="2:21" ht="24">
      <c r="B27" s="64"/>
      <c r="C27" s="64"/>
      <c r="D27" s="64"/>
      <c r="E27" s="64"/>
      <c r="F27" s="64"/>
      <c r="G27" s="64"/>
    </row>
    <row r="28" spans="2:21" ht="24">
      <c r="B28" s="64"/>
      <c r="C28" s="64"/>
      <c r="D28" s="64"/>
      <c r="E28" s="64"/>
      <c r="F28" s="64"/>
    </row>
    <row r="32" spans="2:21" ht="24">
      <c r="U32" s="32"/>
    </row>
  </sheetData>
  <mergeCells count="6">
    <mergeCell ref="H6:L6"/>
    <mergeCell ref="N6:R6"/>
    <mergeCell ref="A1:R1"/>
    <mergeCell ref="A2:R2"/>
    <mergeCell ref="A3:R3"/>
    <mergeCell ref="A5:H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F446-E40C-4D81-8EA2-B5454A916B9E}">
  <sheetPr>
    <tabColor rgb="FF92D050"/>
    <pageSetUpPr fitToPage="1"/>
  </sheetPr>
  <dimension ref="A1:Y28"/>
  <sheetViews>
    <sheetView rightToLeft="1" view="pageBreakPreview" zoomScale="80" zoomScaleNormal="100" zoomScaleSheetLayoutView="80" workbookViewId="0">
      <selection activeCell="P21" sqref="P21"/>
    </sheetView>
  </sheetViews>
  <sheetFormatPr defaultColWidth="9.140625" defaultRowHeight="18"/>
  <cols>
    <col min="1" max="1" width="50.85546875" style="164" customWidth="1"/>
    <col min="2" max="2" width="25" style="22" bestFit="1" customWidth="1"/>
    <col min="3" max="3" width="0.85546875" style="22" customWidth="1"/>
    <col min="4" max="4" width="18" style="22" bestFit="1" customWidth="1"/>
    <col min="5" max="5" width="0.7109375" style="22" customWidth="1"/>
    <col min="6" max="6" width="23.140625" style="22" bestFit="1" customWidth="1"/>
    <col min="7" max="7" width="0.7109375" style="22" customWidth="1"/>
    <col min="8" max="8" width="23.140625" style="22" bestFit="1" customWidth="1"/>
    <col min="9" max="9" width="0.5703125" style="22" customWidth="1"/>
    <col min="10" max="10" width="17" style="22" bestFit="1" customWidth="1"/>
    <col min="11" max="11" width="0.5703125" style="22" customWidth="1"/>
    <col min="12" max="12" width="23.140625" style="22" bestFit="1" customWidth="1"/>
    <col min="13" max="13" width="9.140625" style="164"/>
    <col min="14" max="14" width="14.28515625" style="211" bestFit="1" customWidth="1"/>
    <col min="15" max="15" width="5.5703125" style="211" bestFit="1" customWidth="1"/>
    <col min="16" max="16" width="14.28515625" style="207" customWidth="1"/>
    <col min="17" max="17" width="12.42578125" style="207" bestFit="1" customWidth="1"/>
    <col min="18" max="18" width="14.28515625" style="207" bestFit="1" customWidth="1"/>
    <col min="19" max="19" width="9.140625" style="207"/>
    <col min="20" max="20" width="12.42578125" style="207" bestFit="1" customWidth="1"/>
    <col min="21" max="21" width="14.140625" style="207" bestFit="1" customWidth="1"/>
    <col min="22" max="25" width="9.140625" style="207"/>
    <col min="26" max="16384" width="9.140625" style="164"/>
  </cols>
  <sheetData>
    <row r="1" spans="1:25" ht="24.75">
      <c r="A1" s="269" t="s">
        <v>86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25" ht="24.75">
      <c r="A2" s="269" t="s">
        <v>52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25" ht="24.75">
      <c r="A3" s="269" t="str">
        <f>' سهام'!$A$3</f>
        <v>برای ماه منتهی به 1403/07/30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25" ht="24.75">
      <c r="A4" s="275" t="s">
        <v>61</v>
      </c>
      <c r="B4" s="275"/>
      <c r="C4" s="19"/>
      <c r="D4" s="20"/>
      <c r="E4" s="20"/>
      <c r="F4" s="20"/>
      <c r="G4" s="20"/>
      <c r="H4" s="20"/>
      <c r="I4" s="20"/>
      <c r="J4" s="20"/>
      <c r="K4" s="20"/>
      <c r="L4" s="20"/>
    </row>
    <row r="5" spans="1:25" ht="24.75" customHeight="1" thickBot="1">
      <c r="A5" s="212"/>
      <c r="B5" s="332" t="str">
        <f>'درآمد سرمایه گذاری در سهام '!C7</f>
        <v>طی مهر ماه</v>
      </c>
      <c r="C5" s="332"/>
      <c r="D5" s="332"/>
      <c r="E5" s="332"/>
      <c r="F5" s="332"/>
      <c r="G5" s="20"/>
      <c r="H5" s="332" t="str">
        <f>'درآمد سرمایه گذاری در سهام '!M7</f>
        <v>از ابتدای سال مالی تا پایان مهر ماه</v>
      </c>
      <c r="I5" s="332"/>
      <c r="J5" s="332"/>
      <c r="K5" s="332"/>
      <c r="L5" s="332"/>
    </row>
    <row r="6" spans="1:25" ht="46.5" customHeight="1" thickBot="1">
      <c r="A6" s="185" t="s">
        <v>33</v>
      </c>
      <c r="B6" s="21" t="s">
        <v>53</v>
      </c>
      <c r="C6" s="245"/>
      <c r="D6" s="21" t="s">
        <v>35</v>
      </c>
      <c r="E6" s="245"/>
      <c r="F6" s="21" t="s">
        <v>37</v>
      </c>
      <c r="G6" s="20"/>
      <c r="H6" s="21" t="s">
        <v>53</v>
      </c>
      <c r="I6" s="245"/>
      <c r="J6" s="21" t="s">
        <v>35</v>
      </c>
      <c r="K6" s="245"/>
      <c r="L6" s="21" t="s">
        <v>37</v>
      </c>
    </row>
    <row r="7" spans="1:25" s="149" customFormat="1" ht="46.5" customHeight="1">
      <c r="A7" s="213" t="s">
        <v>141</v>
      </c>
      <c r="B7" s="32">
        <v>4438355.5263157897</v>
      </c>
      <c r="C7" s="32"/>
      <c r="D7" s="32">
        <v>0</v>
      </c>
      <c r="E7" s="32"/>
      <c r="F7" s="32">
        <f>B7+D7</f>
        <v>4438355.5263157897</v>
      </c>
      <c r="G7" s="32"/>
      <c r="H7" s="32">
        <v>253460954.21052632</v>
      </c>
      <c r="I7" s="32"/>
      <c r="J7" s="32">
        <v>-30135</v>
      </c>
      <c r="K7" s="32"/>
      <c r="L7" s="32">
        <f>H7+J7</f>
        <v>253430819.21052632</v>
      </c>
      <c r="M7" s="146"/>
      <c r="N7" s="214"/>
      <c r="O7" s="214"/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s="149" customFormat="1" ht="46.5" customHeight="1">
      <c r="A8" s="213" t="s">
        <v>152</v>
      </c>
      <c r="B8" s="32">
        <v>0</v>
      </c>
      <c r="C8" s="32"/>
      <c r="D8" s="32">
        <v>0</v>
      </c>
      <c r="E8" s="32"/>
      <c r="F8" s="32">
        <f t="shared" ref="F8:F9" si="0">B8+D8</f>
        <v>0</v>
      </c>
      <c r="G8" s="32"/>
      <c r="H8" s="32">
        <v>241779244</v>
      </c>
      <c r="I8" s="32"/>
      <c r="J8" s="356">
        <v>0</v>
      </c>
      <c r="K8" s="32"/>
      <c r="L8" s="32">
        <f t="shared" ref="L8:L9" si="1">H8+J8</f>
        <v>241779244</v>
      </c>
      <c r="M8" s="146"/>
      <c r="N8" s="214"/>
      <c r="O8" s="214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s="149" customFormat="1" ht="46.5" customHeight="1">
      <c r="A9" s="213" t="s">
        <v>95</v>
      </c>
      <c r="B9" s="32">
        <v>1189521.4736842103</v>
      </c>
      <c r="C9" s="32"/>
      <c r="D9" s="32">
        <v>0</v>
      </c>
      <c r="E9" s="32"/>
      <c r="F9" s="32">
        <f t="shared" si="0"/>
        <v>1189521.4736842103</v>
      </c>
      <c r="G9" s="32"/>
      <c r="H9" s="32">
        <v>67733228.789473683</v>
      </c>
      <c r="I9" s="32"/>
      <c r="J9" s="356">
        <v>0</v>
      </c>
      <c r="K9" s="32"/>
      <c r="L9" s="32">
        <f t="shared" si="1"/>
        <v>67733228.789473683</v>
      </c>
      <c r="M9" s="146"/>
      <c r="N9" s="214"/>
      <c r="O9" s="214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47.45" customHeight="1" thickBot="1">
      <c r="A10" s="213"/>
      <c r="B10" s="74">
        <f>SUM(B7:B9)</f>
        <v>5627877</v>
      </c>
      <c r="C10" s="182"/>
      <c r="D10" s="74">
        <f>SUM(D7:D9)</f>
        <v>0</v>
      </c>
      <c r="E10" s="182"/>
      <c r="F10" s="74">
        <f>SUM(F7:F9)</f>
        <v>5627877</v>
      </c>
      <c r="G10" s="182"/>
      <c r="H10" s="74">
        <f>SUM(H7:H9)</f>
        <v>562973427</v>
      </c>
      <c r="I10" s="182"/>
      <c r="J10" s="74">
        <f>SUM(J7:J9)</f>
        <v>-30135</v>
      </c>
      <c r="K10" s="75" t="e">
        <f>SUM(#REF!)</f>
        <v>#REF!</v>
      </c>
      <c r="L10" s="74">
        <f>SUM(L7:L9)</f>
        <v>562943292</v>
      </c>
    </row>
    <row r="11" spans="1:25" ht="22.5" thickTop="1">
      <c r="C11" s="149"/>
      <c r="E11" s="149"/>
      <c r="G11" s="149"/>
      <c r="I11" s="149"/>
    </row>
    <row r="12" spans="1:25" ht="21.75">
      <c r="C12" s="149"/>
      <c r="E12" s="149"/>
      <c r="G12" s="149"/>
      <c r="I12" s="149"/>
    </row>
    <row r="13" spans="1:25" s="32" customFormat="1" ht="24">
      <c r="N13" s="177"/>
      <c r="O13" s="177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s="32" customFormat="1" ht="24">
      <c r="N14" s="177"/>
      <c r="O14" s="177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s="32" customFormat="1" ht="24">
      <c r="N15" s="177"/>
      <c r="O15" s="177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s="32" customFormat="1" ht="24">
      <c r="N16" s="177"/>
      <c r="O16" s="177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s="132" customFormat="1" ht="24">
      <c r="B17" s="32"/>
      <c r="D17" s="20"/>
      <c r="F17" s="32"/>
      <c r="G17" s="20"/>
      <c r="H17" s="32"/>
      <c r="I17" s="20"/>
      <c r="J17" s="20"/>
      <c r="K17" s="20"/>
      <c r="L17" s="32"/>
      <c r="N17" s="215"/>
      <c r="O17" s="215"/>
      <c r="P17" s="216"/>
      <c r="Q17" s="216"/>
      <c r="R17" s="216"/>
      <c r="S17" s="216"/>
      <c r="T17" s="216"/>
      <c r="U17" s="216"/>
      <c r="V17" s="216"/>
      <c r="W17" s="216"/>
      <c r="X17" s="216"/>
      <c r="Y17" s="216"/>
    </row>
    <row r="18" spans="1:25" s="132" customFormat="1" ht="24">
      <c r="A18" s="217"/>
      <c r="B18" s="32"/>
      <c r="C18" s="20"/>
      <c r="D18" s="32"/>
      <c r="G18" s="20"/>
      <c r="H18" s="32"/>
      <c r="I18" s="20"/>
      <c r="J18" s="20"/>
      <c r="K18" s="20"/>
      <c r="L18" s="32"/>
      <c r="N18" s="215"/>
      <c r="O18" s="215"/>
      <c r="P18" s="216"/>
      <c r="Q18" s="216"/>
      <c r="R18" s="216"/>
      <c r="S18" s="216"/>
      <c r="T18" s="216"/>
      <c r="U18" s="216"/>
      <c r="V18" s="216"/>
      <c r="W18" s="216"/>
      <c r="X18" s="216"/>
      <c r="Y18" s="216"/>
    </row>
    <row r="19" spans="1:25" s="132" customFormat="1" ht="24">
      <c r="A19" s="217"/>
      <c r="B19" s="20"/>
      <c r="C19" s="20"/>
      <c r="D19" s="32"/>
      <c r="E19" s="20"/>
      <c r="G19" s="20"/>
      <c r="H19" s="20"/>
      <c r="I19" s="20"/>
      <c r="J19" s="20"/>
      <c r="K19" s="20"/>
      <c r="L19" s="32"/>
      <c r="N19" s="215"/>
      <c r="O19" s="215"/>
      <c r="P19" s="216"/>
      <c r="Q19" s="216"/>
      <c r="R19" s="216"/>
      <c r="S19" s="216"/>
      <c r="T19" s="216"/>
      <c r="U19" s="216"/>
      <c r="V19" s="216"/>
      <c r="W19" s="216"/>
      <c r="X19" s="216"/>
      <c r="Y19" s="216"/>
    </row>
    <row r="20" spans="1:25" s="132" customFormat="1" ht="24">
      <c r="A20" s="217"/>
      <c r="B20" s="20"/>
      <c r="C20" s="20"/>
      <c r="D20" s="32"/>
      <c r="E20" s="20"/>
      <c r="G20" s="20"/>
      <c r="H20" s="20"/>
      <c r="I20" s="20"/>
      <c r="J20" s="20"/>
      <c r="K20" s="20"/>
      <c r="L20" s="32"/>
      <c r="N20" s="215"/>
      <c r="O20" s="215"/>
      <c r="P20" s="216"/>
      <c r="Q20" s="216"/>
      <c r="R20" s="216"/>
      <c r="S20" s="216"/>
      <c r="T20" s="216"/>
      <c r="U20" s="216"/>
      <c r="V20" s="216"/>
      <c r="W20" s="216"/>
      <c r="X20" s="216"/>
      <c r="Y20" s="216"/>
    </row>
    <row r="21" spans="1:25" s="132" customFormat="1" ht="24">
      <c r="B21" s="20"/>
      <c r="C21" s="20"/>
      <c r="D21" s="32"/>
      <c r="E21" s="20"/>
      <c r="G21" s="20"/>
      <c r="H21" s="20"/>
      <c r="I21" s="20"/>
      <c r="J21" s="20"/>
      <c r="K21" s="20"/>
      <c r="L21" s="32"/>
      <c r="N21" s="215"/>
      <c r="O21" s="215"/>
      <c r="P21" s="216"/>
      <c r="Q21" s="216"/>
      <c r="R21" s="216"/>
      <c r="S21" s="216"/>
      <c r="T21" s="216"/>
      <c r="U21" s="216"/>
      <c r="V21" s="216"/>
      <c r="W21" s="216"/>
      <c r="X21" s="216"/>
      <c r="Y21" s="216"/>
    </row>
    <row r="22" spans="1:25" s="132" customFormat="1" ht="24">
      <c r="B22" s="20"/>
      <c r="C22" s="20"/>
      <c r="D22" s="32"/>
      <c r="E22" s="20"/>
      <c r="G22" s="20"/>
      <c r="H22" s="20"/>
      <c r="I22" s="20"/>
      <c r="J22" s="20"/>
      <c r="K22" s="20"/>
      <c r="L22" s="32"/>
      <c r="N22" s="215"/>
      <c r="O22" s="215"/>
      <c r="P22" s="216"/>
      <c r="Q22" s="216"/>
      <c r="R22" s="216"/>
      <c r="S22" s="216"/>
      <c r="T22" s="216"/>
      <c r="U22" s="216"/>
      <c r="V22" s="216"/>
      <c r="W22" s="216"/>
      <c r="X22" s="216"/>
      <c r="Y22" s="216"/>
    </row>
    <row r="23" spans="1:25" s="132" customFormat="1" ht="2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N23" s="215"/>
      <c r="O23" s="215"/>
      <c r="P23" s="216"/>
      <c r="Q23" s="216"/>
      <c r="R23" s="216"/>
      <c r="S23" s="216"/>
      <c r="T23" s="216"/>
      <c r="U23" s="216"/>
      <c r="V23" s="216"/>
      <c r="W23" s="216"/>
      <c r="X23" s="216"/>
      <c r="Y23" s="216"/>
    </row>
    <row r="24" spans="1:25" s="132" customFormat="1" ht="2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N24" s="215"/>
      <c r="O24" s="215"/>
      <c r="P24" s="216"/>
      <c r="Q24" s="216"/>
      <c r="R24" s="216"/>
      <c r="S24" s="216"/>
      <c r="T24" s="216"/>
      <c r="U24" s="216"/>
      <c r="V24" s="216"/>
      <c r="W24" s="216"/>
      <c r="X24" s="216"/>
      <c r="Y24" s="216"/>
    </row>
    <row r="25" spans="1:25" s="132" customFormat="1" ht="2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N25" s="215"/>
      <c r="O25" s="215"/>
      <c r="P25" s="216"/>
      <c r="Q25" s="216"/>
      <c r="R25" s="216"/>
      <c r="S25" s="216"/>
      <c r="T25" s="216"/>
      <c r="U25" s="216"/>
      <c r="V25" s="216"/>
      <c r="W25" s="216"/>
      <c r="X25" s="216"/>
      <c r="Y25" s="216"/>
    </row>
    <row r="26" spans="1:25" s="132" customFormat="1" ht="2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N26" s="215"/>
      <c r="O26" s="215"/>
      <c r="P26" s="216"/>
      <c r="Q26" s="216"/>
      <c r="R26" s="216"/>
      <c r="S26" s="216"/>
      <c r="T26" s="216"/>
      <c r="U26" s="216"/>
      <c r="V26" s="216"/>
      <c r="W26" s="216"/>
      <c r="X26" s="216"/>
      <c r="Y26" s="216"/>
    </row>
    <row r="27" spans="1:25" s="132" customFormat="1" ht="24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N27" s="215"/>
      <c r="O27" s="215"/>
      <c r="P27" s="216"/>
      <c r="Q27" s="216"/>
      <c r="R27" s="216"/>
      <c r="S27" s="216"/>
      <c r="T27" s="216"/>
      <c r="U27" s="216"/>
      <c r="V27" s="216"/>
      <c r="W27" s="216"/>
      <c r="X27" s="216"/>
      <c r="Y27" s="216"/>
    </row>
    <row r="28" spans="1:25" s="132" customFormat="1" ht="24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N28" s="215"/>
      <c r="O28" s="215"/>
      <c r="P28" s="216"/>
      <c r="Q28" s="216"/>
      <c r="R28" s="216"/>
      <c r="S28" s="216"/>
      <c r="T28" s="216"/>
      <c r="U28" s="216"/>
      <c r="V28" s="216"/>
      <c r="W28" s="216"/>
      <c r="X28" s="216"/>
      <c r="Y28" s="216"/>
    </row>
  </sheetData>
  <autoFilter ref="A6:L6" xr:uid="{00000000-0009-0000-0000-000005000000}">
    <sortState xmlns:xlrd2="http://schemas.microsoft.com/office/spreadsheetml/2017/richdata2" ref="A7:L14">
      <sortCondition descending="1" ref="L6"/>
    </sortState>
  </autoFilter>
  <mergeCells count="6">
    <mergeCell ref="A1:L1"/>
    <mergeCell ref="A2:L2"/>
    <mergeCell ref="A3:L3"/>
    <mergeCell ref="A4:B4"/>
    <mergeCell ref="B5:F5"/>
    <mergeCell ref="H5:L5"/>
  </mergeCells>
  <printOptions horizontalCentered="1"/>
  <pageMargins left="0.25" right="0.25" top="0.75" bottom="0.75" header="0.3" footer="0.3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AA75"/>
  <sheetViews>
    <sheetView rightToLeft="1" view="pageBreakPreview" zoomScale="80" zoomScaleNormal="100" zoomScaleSheetLayoutView="80" workbookViewId="0">
      <selection activeCell="S15" sqref="S15"/>
    </sheetView>
  </sheetViews>
  <sheetFormatPr defaultColWidth="9.140625" defaultRowHeight="17.25"/>
  <cols>
    <col min="1" max="1" width="29.7109375" style="196" customWidth="1"/>
    <col min="2" max="2" width="1.140625" style="196" customWidth="1"/>
    <col min="3" max="3" width="11.28515625" style="196" bestFit="1" customWidth="1"/>
    <col min="4" max="4" width="0.85546875" style="196" customWidth="1"/>
    <col min="5" max="5" width="20.5703125" style="17" bestFit="1" customWidth="1"/>
    <col min="6" max="6" width="0.5703125" style="17" customWidth="1"/>
    <col min="7" max="7" width="17.28515625" style="17" bestFit="1" customWidth="1"/>
    <col min="8" max="8" width="0.85546875" style="17" customWidth="1"/>
    <col min="9" max="9" width="19" style="33" bestFit="1" customWidth="1"/>
    <col min="10" max="10" width="0.5703125" style="33" customWidth="1"/>
    <col min="11" max="11" width="12.42578125" style="33" bestFit="1" customWidth="1"/>
    <col min="12" max="12" width="0.42578125" style="33" customWidth="1"/>
    <col min="13" max="13" width="20.42578125" style="33" bestFit="1" customWidth="1"/>
    <col min="14" max="14" width="0.42578125" style="33" customWidth="1"/>
    <col min="15" max="15" width="17.85546875" style="33" bestFit="1" customWidth="1"/>
    <col min="16" max="16" width="0.5703125" style="33" customWidth="1"/>
    <col min="17" max="17" width="18" style="33" customWidth="1"/>
    <col min="18" max="18" width="9.5703125" style="196" bestFit="1" customWidth="1"/>
    <col min="19" max="19" width="16.5703125" style="196" bestFit="1" customWidth="1"/>
    <col min="20" max="20" width="14.140625" style="196" customWidth="1"/>
    <col min="21" max="21" width="12.5703125" style="196" bestFit="1" customWidth="1"/>
    <col min="22" max="22" width="9.140625" style="196"/>
    <col min="23" max="23" width="9.5703125" style="196" bestFit="1" customWidth="1"/>
    <col min="24" max="25" width="12.5703125" style="196" bestFit="1" customWidth="1"/>
    <col min="26" max="16384" width="9.140625" style="196"/>
  </cols>
  <sheetData>
    <row r="1" spans="1:27" ht="22.5">
      <c r="A1" s="322" t="s">
        <v>86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27" ht="22.5">
      <c r="A2" s="322" t="s">
        <v>52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27" ht="22.5">
      <c r="A3" s="322" t="str">
        <f>' سهام'!$A$3</f>
        <v>برای ماه منتهی به 1403/07/30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27" ht="22.5">
      <c r="A4" s="339" t="s">
        <v>60</v>
      </c>
      <c r="B4" s="339"/>
      <c r="C4" s="339"/>
      <c r="D4" s="339"/>
      <c r="E4" s="339"/>
      <c r="F4" s="339"/>
      <c r="G4" s="339"/>
      <c r="H4" s="339"/>
      <c r="I4" s="339"/>
      <c r="J4" s="340"/>
      <c r="K4" s="340"/>
      <c r="L4" s="340"/>
      <c r="M4" s="340"/>
      <c r="N4" s="340"/>
      <c r="O4" s="340"/>
      <c r="P4" s="340"/>
      <c r="Q4" s="340"/>
    </row>
    <row r="5" spans="1:27" ht="20.25" customHeight="1" thickBot="1">
      <c r="A5" s="149"/>
      <c r="B5" s="149"/>
      <c r="C5" s="338" t="str">
        <f>'درآمد سرمایه گذاری در سهام '!C7</f>
        <v>طی مهر ماه</v>
      </c>
      <c r="D5" s="338"/>
      <c r="E5" s="338"/>
      <c r="F5" s="338"/>
      <c r="G5" s="338"/>
      <c r="H5" s="338"/>
      <c r="I5" s="338"/>
      <c r="J5" s="2"/>
      <c r="K5" s="338" t="str">
        <f>'درآمد سرمایه گذاری در سهام '!M7</f>
        <v>از ابتدای سال مالی تا پایان مهر ماه</v>
      </c>
      <c r="L5" s="338"/>
      <c r="M5" s="338"/>
      <c r="N5" s="338"/>
      <c r="O5" s="338"/>
      <c r="P5" s="338"/>
      <c r="Q5" s="338"/>
      <c r="Z5" s="208"/>
      <c r="AA5" s="208"/>
    </row>
    <row r="6" spans="1:27" ht="44.25" thickBot="1">
      <c r="A6" s="218" t="s">
        <v>33</v>
      </c>
      <c r="B6" s="218"/>
      <c r="C6" s="219" t="s">
        <v>3</v>
      </c>
      <c r="D6" s="218"/>
      <c r="E6" s="46" t="s">
        <v>41</v>
      </c>
      <c r="F6" s="47"/>
      <c r="G6" s="48" t="s">
        <v>38</v>
      </c>
      <c r="H6" s="47"/>
      <c r="I6" s="29" t="s">
        <v>42</v>
      </c>
      <c r="J6" s="2"/>
      <c r="K6" s="27" t="s">
        <v>3</v>
      </c>
      <c r="L6" s="28"/>
      <c r="M6" s="29" t="s">
        <v>18</v>
      </c>
      <c r="N6" s="28"/>
      <c r="O6" s="27" t="s">
        <v>38</v>
      </c>
      <c r="P6" s="28"/>
      <c r="Q6" s="29" t="s">
        <v>42</v>
      </c>
      <c r="Z6" s="208"/>
      <c r="AA6" s="208"/>
    </row>
    <row r="7" spans="1:27" s="220" customFormat="1" ht="21.75">
      <c r="A7" s="220" t="s">
        <v>104</v>
      </c>
      <c r="B7" s="221"/>
      <c r="C7" s="16">
        <f>IFERROR(VLOOKUP(A7,' سهام'!$A$10:$M$102,12,0),0)</f>
        <v>13299</v>
      </c>
      <c r="D7" s="16"/>
      <c r="E7" s="16">
        <f>IFERROR(VLOOKUP(A7,' سهام'!$A$10:$M$103,13,0),0)</f>
        <v>351073285</v>
      </c>
      <c r="F7" s="16"/>
      <c r="G7" s="236">
        <v>307902217</v>
      </c>
      <c r="H7" s="16"/>
      <c r="I7" s="16">
        <f>E7-G7</f>
        <v>43171068</v>
      </c>
      <c r="J7" s="16"/>
      <c r="K7" s="16">
        <v>59479</v>
      </c>
      <c r="L7" s="16"/>
      <c r="M7" s="16">
        <v>1473292141</v>
      </c>
      <c r="N7" s="16"/>
      <c r="O7" s="236">
        <v>1365711676</v>
      </c>
      <c r="P7" s="16"/>
      <c r="Q7" s="16">
        <f>M7-O7</f>
        <v>107580465</v>
      </c>
    </row>
    <row r="8" spans="1:27" s="220" customFormat="1" ht="21.75">
      <c r="A8" s="220" t="s">
        <v>90</v>
      </c>
      <c r="B8" s="221"/>
      <c r="C8" s="16">
        <f>IFERROR(VLOOKUP(A8,' سهام'!$A$10:$M$102,12,0),0)</f>
        <v>65667</v>
      </c>
      <c r="D8" s="16"/>
      <c r="E8" s="16">
        <f>IFERROR(VLOOKUP(A8,' سهام'!$A$10:$M$103,13,0),0)</f>
        <v>1074315455</v>
      </c>
      <c r="F8" s="16"/>
      <c r="G8" s="236">
        <v>1140995132</v>
      </c>
      <c r="H8" s="16"/>
      <c r="I8" s="16">
        <f t="shared" ref="I8:I46" si="0">E8-G8</f>
        <v>-66679677</v>
      </c>
      <c r="J8" s="16"/>
      <c r="K8" s="16">
        <v>833036</v>
      </c>
      <c r="L8" s="16"/>
      <c r="M8" s="16">
        <v>14327533034</v>
      </c>
      <c r="N8" s="16"/>
      <c r="O8" s="236">
        <v>13989691622</v>
      </c>
      <c r="P8" s="16"/>
      <c r="Q8" s="16">
        <f t="shared" ref="Q8:Q46" si="1">M8-O8</f>
        <v>337841412</v>
      </c>
    </row>
    <row r="9" spans="1:27" s="220" customFormat="1" ht="21.75">
      <c r="A9" s="220" t="s">
        <v>94</v>
      </c>
      <c r="B9" s="221"/>
      <c r="C9" s="16">
        <f>IFERROR(VLOOKUP(A9,' سهام'!$A$10:$M$102,12,0),0)</f>
        <v>179737</v>
      </c>
      <c r="D9" s="16"/>
      <c r="E9" s="16">
        <f>IFERROR(VLOOKUP(A9,' سهام'!$A$10:$M$103,13,0),0)</f>
        <v>461390209</v>
      </c>
      <c r="F9" s="16"/>
      <c r="G9" s="236">
        <v>460063251</v>
      </c>
      <c r="H9" s="16"/>
      <c r="I9" s="16">
        <f t="shared" si="0"/>
        <v>1326958</v>
      </c>
      <c r="J9" s="16"/>
      <c r="K9" s="16">
        <v>2868145</v>
      </c>
      <c r="L9" s="16"/>
      <c r="M9" s="16">
        <v>9746432125</v>
      </c>
      <c r="N9" s="16"/>
      <c r="O9" s="236">
        <v>10594373646</v>
      </c>
      <c r="P9" s="16"/>
      <c r="Q9" s="16">
        <f t="shared" si="1"/>
        <v>-847941521</v>
      </c>
    </row>
    <row r="10" spans="1:27" s="220" customFormat="1" ht="21.75">
      <c r="A10" s="220" t="s">
        <v>93</v>
      </c>
      <c r="B10" s="221"/>
      <c r="C10" s="16">
        <f>IFERROR(VLOOKUP(A10,' سهام'!$A$10:$M$102,12,0),0)</f>
        <v>842266</v>
      </c>
      <c r="D10" s="16"/>
      <c r="E10" s="16">
        <f>IFERROR(VLOOKUP(A10,' سهام'!$A$10:$M$103,13,0),0)</f>
        <v>5275046154</v>
      </c>
      <c r="F10" s="16"/>
      <c r="G10" s="236">
        <v>5673292052</v>
      </c>
      <c r="H10" s="16"/>
      <c r="I10" s="16">
        <f t="shared" si="0"/>
        <v>-398245898</v>
      </c>
      <c r="J10" s="16"/>
      <c r="K10" s="16">
        <v>2423627</v>
      </c>
      <c r="L10" s="16"/>
      <c r="M10" s="16">
        <v>18438059957</v>
      </c>
      <c r="N10" s="16"/>
      <c r="O10" s="236">
        <v>18611461954</v>
      </c>
      <c r="P10" s="16"/>
      <c r="Q10" s="16">
        <f t="shared" si="1"/>
        <v>-173401997</v>
      </c>
    </row>
    <row r="11" spans="1:27" s="220" customFormat="1" ht="21.75">
      <c r="A11" s="220" t="s">
        <v>91</v>
      </c>
      <c r="B11" s="221"/>
      <c r="C11" s="16">
        <f>IFERROR(VLOOKUP(A11,' سهام'!$A$10:$M$102,12,0),0)</f>
        <v>0</v>
      </c>
      <c r="D11" s="16"/>
      <c r="E11" s="16">
        <f>IFERROR(VLOOKUP(A11,' سهام'!$A$10:$M$103,13,0),0)</f>
        <v>0</v>
      </c>
      <c r="F11" s="16"/>
      <c r="G11" s="236">
        <v>0</v>
      </c>
      <c r="H11" s="16"/>
      <c r="I11" s="16">
        <f t="shared" si="0"/>
        <v>0</v>
      </c>
      <c r="J11" s="16"/>
      <c r="K11" s="16">
        <v>318746</v>
      </c>
      <c r="L11" s="16"/>
      <c r="M11" s="16">
        <v>14581755820</v>
      </c>
      <c r="N11" s="16"/>
      <c r="O11" s="236">
        <v>14093670518</v>
      </c>
      <c r="P11" s="16"/>
      <c r="Q11" s="16">
        <f t="shared" si="1"/>
        <v>488085302</v>
      </c>
    </row>
    <row r="12" spans="1:27" s="220" customFormat="1" ht="21.75">
      <c r="A12" s="220" t="s">
        <v>87</v>
      </c>
      <c r="B12" s="221"/>
      <c r="C12" s="16">
        <f>IFERROR(VLOOKUP(A12,' سهام'!$A$10:$M$102,12,0),0)</f>
        <v>50029</v>
      </c>
      <c r="D12" s="16"/>
      <c r="E12" s="16">
        <f>IFERROR(VLOOKUP(A12,' سهام'!$A$10:$M$103,13,0),0)</f>
        <v>346981622</v>
      </c>
      <c r="F12" s="16"/>
      <c r="G12" s="236">
        <v>590597105</v>
      </c>
      <c r="H12" s="16"/>
      <c r="I12" s="16">
        <f t="shared" si="0"/>
        <v>-243615483</v>
      </c>
      <c r="J12" s="16"/>
      <c r="K12" s="16">
        <v>1089285</v>
      </c>
      <c r="L12" s="16"/>
      <c r="M12" s="16">
        <v>12146775071</v>
      </c>
      <c r="N12" s="16"/>
      <c r="O12" s="236">
        <v>11518233860</v>
      </c>
      <c r="P12" s="16"/>
      <c r="Q12" s="16">
        <f t="shared" si="1"/>
        <v>628541211</v>
      </c>
    </row>
    <row r="13" spans="1:27" s="220" customFormat="1" ht="21.75">
      <c r="A13" s="220" t="s">
        <v>101</v>
      </c>
      <c r="B13" s="221"/>
      <c r="C13" s="16">
        <f>IFERROR(VLOOKUP(A13,' سهام'!$A$10:$M$102,12,0),0)</f>
        <v>12889</v>
      </c>
      <c r="D13" s="16"/>
      <c r="E13" s="16">
        <f>IFERROR(VLOOKUP(A13,' سهام'!$A$10:$M$103,13,0),0)</f>
        <v>383195211</v>
      </c>
      <c r="F13" s="16"/>
      <c r="G13" s="236">
        <v>285139277</v>
      </c>
      <c r="H13" s="16"/>
      <c r="I13" s="16">
        <f t="shared" si="0"/>
        <v>98055934</v>
      </c>
      <c r="J13" s="16"/>
      <c r="K13" s="16">
        <v>64521</v>
      </c>
      <c r="L13" s="16"/>
      <c r="M13" s="16">
        <v>1778416399</v>
      </c>
      <c r="N13" s="16"/>
      <c r="O13" s="236">
        <v>1404735754</v>
      </c>
      <c r="P13" s="16"/>
      <c r="Q13" s="16">
        <f t="shared" si="1"/>
        <v>373680645</v>
      </c>
    </row>
    <row r="14" spans="1:27" s="220" customFormat="1" ht="21.75">
      <c r="A14" s="220" t="s">
        <v>89</v>
      </c>
      <c r="B14" s="221"/>
      <c r="C14" s="16">
        <f>IFERROR(VLOOKUP(A14,' سهام'!$A$10:$M$102,12,0),0)</f>
        <v>109107</v>
      </c>
      <c r="D14" s="16"/>
      <c r="E14" s="16">
        <f>IFERROR(VLOOKUP(A14,' سهام'!$A$10:$M$103,13,0),0)</f>
        <v>2065860908</v>
      </c>
      <c r="F14" s="16"/>
      <c r="G14" s="236">
        <v>1940956807</v>
      </c>
      <c r="H14" s="16"/>
      <c r="I14" s="16">
        <f t="shared" si="0"/>
        <v>124904101</v>
      </c>
      <c r="J14" s="16"/>
      <c r="K14" s="16">
        <v>341022</v>
      </c>
      <c r="L14" s="16"/>
      <c r="M14" s="16">
        <v>6214820436</v>
      </c>
      <c r="N14" s="16"/>
      <c r="O14" s="236">
        <v>6289916533</v>
      </c>
      <c r="P14" s="16"/>
      <c r="Q14" s="16">
        <f t="shared" si="1"/>
        <v>-75096097</v>
      </c>
    </row>
    <row r="15" spans="1:27" s="220" customFormat="1" ht="21.75">
      <c r="A15" s="220" t="s">
        <v>92</v>
      </c>
      <c r="B15" s="221"/>
      <c r="C15" s="16">
        <f>IFERROR(VLOOKUP(A15,' سهام'!$A$10:$M$102,12,0),0)</f>
        <v>174273</v>
      </c>
      <c r="D15" s="16"/>
      <c r="E15" s="16">
        <f>IFERROR(VLOOKUP(A15,' سهام'!$A$10:$M$103,13,0),0)</f>
        <v>1153044238</v>
      </c>
      <c r="F15" s="16"/>
      <c r="G15" s="236">
        <v>1496188311</v>
      </c>
      <c r="H15" s="16"/>
      <c r="I15" s="16">
        <f t="shared" si="0"/>
        <v>-343144073</v>
      </c>
      <c r="J15" s="16"/>
      <c r="K15" s="16">
        <v>1032171</v>
      </c>
      <c r="L15" s="16"/>
      <c r="M15" s="16">
        <v>8147336161</v>
      </c>
      <c r="N15" s="16"/>
      <c r="O15" s="236">
        <v>9032006936</v>
      </c>
      <c r="P15" s="16"/>
      <c r="Q15" s="16">
        <f t="shared" si="1"/>
        <v>-884670775</v>
      </c>
    </row>
    <row r="16" spans="1:27" s="220" customFormat="1" ht="21.75">
      <c r="A16" s="220" t="s">
        <v>88</v>
      </c>
      <c r="B16" s="221"/>
      <c r="C16" s="16">
        <f>IFERROR(VLOOKUP(A16,' سهام'!$A$10:$M$102,12,0),0)</f>
        <v>0</v>
      </c>
      <c r="D16" s="16"/>
      <c r="E16" s="16">
        <f>IFERROR(VLOOKUP(A16,' سهام'!$A$10:$M$103,13,0),0)</f>
        <v>0</v>
      </c>
      <c r="F16" s="16"/>
      <c r="G16" s="236">
        <v>0</v>
      </c>
      <c r="H16" s="16"/>
      <c r="I16" s="16">
        <f t="shared" si="0"/>
        <v>0</v>
      </c>
      <c r="J16" s="16"/>
      <c r="K16" s="16">
        <v>550039</v>
      </c>
      <c r="L16" s="16"/>
      <c r="M16" s="16">
        <v>12354115059</v>
      </c>
      <c r="N16" s="16"/>
      <c r="O16" s="236">
        <v>11186837847</v>
      </c>
      <c r="P16" s="16"/>
      <c r="Q16" s="16">
        <f t="shared" si="1"/>
        <v>1167277212</v>
      </c>
    </row>
    <row r="17" spans="1:17" s="220" customFormat="1" ht="21.75">
      <c r="A17" s="220" t="s">
        <v>110</v>
      </c>
      <c r="B17" s="221"/>
      <c r="C17" s="16">
        <f>IFERROR(VLOOKUP(A17,' سهام'!$A$10:$M$102,12,0),0)</f>
        <v>507955</v>
      </c>
      <c r="D17" s="16"/>
      <c r="E17" s="16">
        <f>IFERROR(VLOOKUP(A17,' سهام'!$A$10:$M$103,13,0),0)</f>
        <v>1379921452</v>
      </c>
      <c r="F17" s="16"/>
      <c r="G17" s="236">
        <v>1573893446</v>
      </c>
      <c r="H17" s="16"/>
      <c r="I17" s="16">
        <f t="shared" si="0"/>
        <v>-193971994</v>
      </c>
      <c r="J17" s="16"/>
      <c r="K17" s="16">
        <v>3873815</v>
      </c>
      <c r="L17" s="16"/>
      <c r="M17" s="16">
        <v>10619971485</v>
      </c>
      <c r="N17" s="16"/>
      <c r="O17" s="236">
        <v>11999042111</v>
      </c>
      <c r="P17" s="16"/>
      <c r="Q17" s="16">
        <f t="shared" si="1"/>
        <v>-1379070626</v>
      </c>
    </row>
    <row r="18" spans="1:17" s="220" customFormat="1" ht="21.75">
      <c r="A18" s="220" t="s">
        <v>100</v>
      </c>
      <c r="B18" s="221"/>
      <c r="C18" s="16">
        <f>IFERROR(VLOOKUP(A18,' سهام'!$A$10:$M$102,12,0),0)</f>
        <v>0</v>
      </c>
      <c r="D18" s="16"/>
      <c r="E18" s="16">
        <f>IFERROR(VLOOKUP(A18,' سهام'!$A$10:$M$103,13,0),0)</f>
        <v>0</v>
      </c>
      <c r="F18" s="16"/>
      <c r="G18" s="236">
        <v>0</v>
      </c>
      <c r="H18" s="16"/>
      <c r="I18" s="16">
        <f t="shared" si="0"/>
        <v>0</v>
      </c>
      <c r="J18" s="16"/>
      <c r="K18" s="16">
        <v>397342</v>
      </c>
      <c r="L18" s="16"/>
      <c r="M18" s="16">
        <v>5619181440</v>
      </c>
      <c r="N18" s="16"/>
      <c r="O18" s="236">
        <v>5383547622</v>
      </c>
      <c r="P18" s="16"/>
      <c r="Q18" s="16">
        <f t="shared" si="1"/>
        <v>235633818</v>
      </c>
    </row>
    <row r="19" spans="1:17" s="220" customFormat="1" ht="21.75">
      <c r="A19" s="220" t="s">
        <v>102</v>
      </c>
      <c r="B19" s="221"/>
      <c r="C19" s="16">
        <f>IFERROR(VLOOKUP(A19,' سهام'!$A$10:$M$102,12,0),0)</f>
        <v>18634</v>
      </c>
      <c r="D19" s="16"/>
      <c r="E19" s="16">
        <f>IFERROR(VLOOKUP(A19,' سهام'!$A$10:$M$103,13,0),0)</f>
        <v>203916433</v>
      </c>
      <c r="F19" s="16"/>
      <c r="G19" s="236">
        <v>273638673</v>
      </c>
      <c r="H19" s="16"/>
      <c r="I19" s="16">
        <f t="shared" si="0"/>
        <v>-69722240</v>
      </c>
      <c r="J19" s="16"/>
      <c r="K19" s="16">
        <v>175656</v>
      </c>
      <c r="L19" s="16"/>
      <c r="M19" s="16">
        <v>2780636494</v>
      </c>
      <c r="N19" s="16"/>
      <c r="O19" s="236">
        <v>2548146100</v>
      </c>
      <c r="P19" s="16"/>
      <c r="Q19" s="16">
        <f t="shared" si="1"/>
        <v>232490394</v>
      </c>
    </row>
    <row r="20" spans="1:17" s="220" customFormat="1" ht="21.75">
      <c r="A20" s="220" t="s">
        <v>99</v>
      </c>
      <c r="B20" s="221"/>
      <c r="C20" s="16">
        <f>IFERROR(VLOOKUP(A20,' سهام'!$A$10:$M$102,12,0),0)</f>
        <v>0</v>
      </c>
      <c r="D20" s="16"/>
      <c r="E20" s="16">
        <f>IFERROR(VLOOKUP(A20,' سهام'!$A$10:$M$103,13,0),0)</f>
        <v>0</v>
      </c>
      <c r="F20" s="16"/>
      <c r="G20" s="236">
        <v>0</v>
      </c>
      <c r="H20" s="16"/>
      <c r="I20" s="16">
        <f t="shared" si="0"/>
        <v>0</v>
      </c>
      <c r="J20" s="16"/>
      <c r="K20" s="16">
        <v>14840979</v>
      </c>
      <c r="L20" s="16"/>
      <c r="M20" s="16">
        <v>76207760308</v>
      </c>
      <c r="N20" s="16"/>
      <c r="O20" s="236">
        <v>71388225970</v>
      </c>
      <c r="P20" s="16"/>
      <c r="Q20" s="16">
        <f t="shared" si="1"/>
        <v>4819534338</v>
      </c>
    </row>
    <row r="21" spans="1:17" s="220" customFormat="1" ht="21.75">
      <c r="A21" s="220" t="s">
        <v>105</v>
      </c>
      <c r="B21" s="221"/>
      <c r="C21" s="16">
        <f>IFERROR(VLOOKUP(A21,' سهام'!$A$10:$M$102,12,0),0)</f>
        <v>0</v>
      </c>
      <c r="D21" s="16"/>
      <c r="E21" s="16">
        <f>IFERROR(VLOOKUP(A21,' سهام'!$A$10:$M$103,13,0),0)</f>
        <v>0</v>
      </c>
      <c r="F21" s="16"/>
      <c r="G21" s="236">
        <v>0</v>
      </c>
      <c r="H21" s="16"/>
      <c r="I21" s="16">
        <f t="shared" si="0"/>
        <v>0</v>
      </c>
      <c r="J21" s="16"/>
      <c r="K21" s="16">
        <v>4559</v>
      </c>
      <c r="L21" s="16"/>
      <c r="M21" s="16">
        <v>111655142</v>
      </c>
      <c r="N21" s="16"/>
      <c r="O21" s="236">
        <v>119550839</v>
      </c>
      <c r="P21" s="16"/>
      <c r="Q21" s="16">
        <f t="shared" si="1"/>
        <v>-7895697</v>
      </c>
    </row>
    <row r="22" spans="1:17" s="220" customFormat="1" ht="21.75">
      <c r="A22" s="220" t="s">
        <v>103</v>
      </c>
      <c r="B22" s="221"/>
      <c r="C22" s="16">
        <f>IFERROR(VLOOKUP(A22,' سهام'!$A$10:$M$102,12,0),0)</f>
        <v>0</v>
      </c>
      <c r="D22" s="16"/>
      <c r="E22" s="16">
        <f>IFERROR(VLOOKUP(A22,' سهام'!$A$10:$M$103,13,0),0)</f>
        <v>0</v>
      </c>
      <c r="F22" s="16"/>
      <c r="G22" s="236">
        <v>0</v>
      </c>
      <c r="H22" s="16"/>
      <c r="I22" s="16">
        <f t="shared" si="0"/>
        <v>0</v>
      </c>
      <c r="J22" s="16"/>
      <c r="K22" s="16">
        <v>7881</v>
      </c>
      <c r="L22" s="16"/>
      <c r="M22" s="16">
        <v>722013777</v>
      </c>
      <c r="N22" s="16"/>
      <c r="O22" s="236">
        <v>627198694</v>
      </c>
      <c r="P22" s="16"/>
      <c r="Q22" s="16">
        <f t="shared" si="1"/>
        <v>94815083</v>
      </c>
    </row>
    <row r="23" spans="1:17" s="220" customFormat="1" ht="21.75">
      <c r="A23" s="220" t="s">
        <v>98</v>
      </c>
      <c r="B23" s="221"/>
      <c r="C23" s="16">
        <f>IFERROR(VLOOKUP(A23,' سهام'!$A$10:$M$102,12,0),0)</f>
        <v>0</v>
      </c>
      <c r="D23" s="16"/>
      <c r="E23" s="16">
        <f>IFERROR(VLOOKUP(A23,' سهام'!$A$10:$M$103,13,0),0)</f>
        <v>0</v>
      </c>
      <c r="F23" s="16"/>
      <c r="G23" s="236">
        <v>0</v>
      </c>
      <c r="H23" s="16"/>
      <c r="I23" s="16">
        <f t="shared" si="0"/>
        <v>0</v>
      </c>
      <c r="J23" s="16"/>
      <c r="K23" s="16">
        <v>67388</v>
      </c>
      <c r="L23" s="16"/>
      <c r="M23" s="16">
        <v>2576740952</v>
      </c>
      <c r="N23" s="16"/>
      <c r="O23" s="236">
        <v>2035645151</v>
      </c>
      <c r="P23" s="16"/>
      <c r="Q23" s="16">
        <f t="shared" si="1"/>
        <v>541095801</v>
      </c>
    </row>
    <row r="24" spans="1:17" s="220" customFormat="1" ht="21.75">
      <c r="A24" s="220" t="s">
        <v>106</v>
      </c>
      <c r="B24" s="221"/>
      <c r="C24" s="16">
        <f>IFERROR(VLOOKUP(A24,' سهام'!$A$10:$M$102,12,0),0)</f>
        <v>0</v>
      </c>
      <c r="D24" s="16"/>
      <c r="E24" s="16">
        <f>IFERROR(VLOOKUP(A24,' سهام'!$A$10:$M$103,13,0),0)</f>
        <v>0</v>
      </c>
      <c r="F24" s="16"/>
      <c r="G24" s="236">
        <v>0</v>
      </c>
      <c r="H24" s="16"/>
      <c r="I24" s="16">
        <f t="shared" si="0"/>
        <v>0</v>
      </c>
      <c r="J24" s="16"/>
      <c r="K24" s="16">
        <v>5650000</v>
      </c>
      <c r="L24" s="16"/>
      <c r="M24" s="16">
        <v>30879904020</v>
      </c>
      <c r="N24" s="16"/>
      <c r="O24" s="236">
        <v>30272301675</v>
      </c>
      <c r="P24" s="16"/>
      <c r="Q24" s="16">
        <f t="shared" si="1"/>
        <v>607602345</v>
      </c>
    </row>
    <row r="25" spans="1:17" s="220" customFormat="1" ht="21.75">
      <c r="A25" s="220" t="s">
        <v>109</v>
      </c>
      <c r="B25" s="221"/>
      <c r="C25" s="16">
        <f>IFERROR(VLOOKUP(A25,' سهام'!$A$10:$M$102,12,0),0)</f>
        <v>92939</v>
      </c>
      <c r="D25" s="16"/>
      <c r="E25" s="16">
        <f>IFERROR(VLOOKUP(A25,' سهام'!$A$10:$M$103,13,0),0)</f>
        <v>586651189</v>
      </c>
      <c r="F25" s="16"/>
      <c r="G25" s="236">
        <v>642529345</v>
      </c>
      <c r="H25" s="16"/>
      <c r="I25" s="16">
        <f t="shared" si="0"/>
        <v>-55878156</v>
      </c>
      <c r="J25" s="16"/>
      <c r="K25" s="16">
        <v>480269</v>
      </c>
      <c r="L25" s="16"/>
      <c r="M25" s="16">
        <v>3986494106</v>
      </c>
      <c r="N25" s="16"/>
      <c r="O25" s="236">
        <v>3780431594</v>
      </c>
      <c r="P25" s="16"/>
      <c r="Q25" s="16">
        <f t="shared" si="1"/>
        <v>206062512</v>
      </c>
    </row>
    <row r="26" spans="1:17" s="220" customFormat="1" ht="21.75">
      <c r="A26" s="220" t="s">
        <v>120</v>
      </c>
      <c r="B26" s="221"/>
      <c r="C26" s="16">
        <f>IFERROR(VLOOKUP(A26,' سهام'!$A$10:$M$102,12,0),0)</f>
        <v>59360</v>
      </c>
      <c r="D26" s="16"/>
      <c r="E26" s="16">
        <f>IFERROR(VLOOKUP(A26,' سهام'!$A$10:$M$103,13,0),0)</f>
        <v>658666387</v>
      </c>
      <c r="F26" s="16"/>
      <c r="G26" s="236">
        <v>771831031</v>
      </c>
      <c r="H26" s="16"/>
      <c r="I26" s="16">
        <f t="shared" si="0"/>
        <v>-113164644</v>
      </c>
      <c r="J26" s="16"/>
      <c r="K26" s="16">
        <v>239649</v>
      </c>
      <c r="L26" s="16"/>
      <c r="M26" s="16">
        <v>2875133007</v>
      </c>
      <c r="N26" s="16"/>
      <c r="O26" s="236">
        <v>3118912847</v>
      </c>
      <c r="P26" s="16"/>
      <c r="Q26" s="16">
        <f t="shared" si="1"/>
        <v>-243779840</v>
      </c>
    </row>
    <row r="27" spans="1:17" s="220" customFormat="1" ht="21.75">
      <c r="A27" s="220" t="s">
        <v>123</v>
      </c>
      <c r="B27" s="221"/>
      <c r="C27" s="16">
        <f>IFERROR(VLOOKUP(A27,' سهام'!$A$10:$M$102,12,0),0)</f>
        <v>626276</v>
      </c>
      <c r="D27" s="16"/>
      <c r="E27" s="16">
        <f>IFERROR(VLOOKUP(A27,' سهام'!$A$10:$M$103,13,0),0)</f>
        <v>688655407</v>
      </c>
      <c r="F27" s="16"/>
      <c r="G27" s="236">
        <v>753240959</v>
      </c>
      <c r="H27" s="16"/>
      <c r="I27" s="16">
        <f t="shared" si="0"/>
        <v>-64585552</v>
      </c>
      <c r="J27" s="16"/>
      <c r="K27" s="16">
        <v>3856330</v>
      </c>
      <c r="L27" s="16"/>
      <c r="M27" s="16">
        <v>4191567327</v>
      </c>
      <c r="N27" s="16"/>
      <c r="O27" s="236">
        <v>4640101992</v>
      </c>
      <c r="P27" s="16"/>
      <c r="Q27" s="16">
        <f t="shared" si="1"/>
        <v>-448534665</v>
      </c>
    </row>
    <row r="28" spans="1:17" s="220" customFormat="1" ht="21.75">
      <c r="A28" s="220" t="s">
        <v>125</v>
      </c>
      <c r="B28" s="221"/>
      <c r="C28" s="16">
        <f>IFERROR(VLOOKUP(A28,' سهام'!$A$10:$M$102,12,0),0)</f>
        <v>0</v>
      </c>
      <c r="D28" s="16"/>
      <c r="E28" s="16">
        <f>IFERROR(VLOOKUP(A28,' سهام'!$A$10:$M$103,13,0),0)</f>
        <v>0</v>
      </c>
      <c r="F28" s="16"/>
      <c r="G28" s="236">
        <v>0</v>
      </c>
      <c r="H28" s="16"/>
      <c r="I28" s="16">
        <f t="shared" si="0"/>
        <v>0</v>
      </c>
      <c r="J28" s="16"/>
      <c r="K28" s="16">
        <v>200000</v>
      </c>
      <c r="L28" s="16"/>
      <c r="M28" s="16">
        <v>2401624842</v>
      </c>
      <c r="N28" s="16"/>
      <c r="O28" s="236">
        <v>1691534520</v>
      </c>
      <c r="P28" s="16"/>
      <c r="Q28" s="16">
        <f t="shared" si="1"/>
        <v>710090322</v>
      </c>
    </row>
    <row r="29" spans="1:17" s="220" customFormat="1" ht="21.75">
      <c r="A29" s="220" t="s">
        <v>121</v>
      </c>
      <c r="B29" s="221"/>
      <c r="C29" s="16">
        <f>IFERROR(VLOOKUP(A29,' سهام'!$A$10:$M$102,12,0),0)</f>
        <v>0</v>
      </c>
      <c r="D29" s="16"/>
      <c r="E29" s="16">
        <f>IFERROR(VLOOKUP(A29,' سهام'!$A$10:$M$103,13,0),0)</f>
        <v>0</v>
      </c>
      <c r="F29" s="16"/>
      <c r="G29" s="236">
        <v>0</v>
      </c>
      <c r="H29" s="16"/>
      <c r="I29" s="16">
        <f t="shared" si="0"/>
        <v>0</v>
      </c>
      <c r="J29" s="16"/>
      <c r="K29" s="16">
        <v>600000</v>
      </c>
      <c r="L29" s="16"/>
      <c r="M29" s="16">
        <v>14514620253</v>
      </c>
      <c r="N29" s="16"/>
      <c r="O29" s="236">
        <v>12411259200</v>
      </c>
      <c r="P29" s="16"/>
      <c r="Q29" s="16">
        <f t="shared" si="1"/>
        <v>2103361053</v>
      </c>
    </row>
    <row r="30" spans="1:17" s="220" customFormat="1" ht="21.75">
      <c r="A30" s="220" t="s">
        <v>124</v>
      </c>
      <c r="B30" s="221"/>
      <c r="C30" s="16">
        <f>IFERROR(VLOOKUP(A30,' سهام'!$A$10:$M$102,12,0),0)</f>
        <v>0</v>
      </c>
      <c r="D30" s="16"/>
      <c r="E30" s="16">
        <f>IFERROR(VLOOKUP(A30,' سهام'!$A$10:$M$103,13,0),0)</f>
        <v>0</v>
      </c>
      <c r="F30" s="16"/>
      <c r="G30" s="236">
        <v>0</v>
      </c>
      <c r="H30" s="16"/>
      <c r="I30" s="16">
        <f t="shared" si="0"/>
        <v>0</v>
      </c>
      <c r="J30" s="16"/>
      <c r="K30" s="16">
        <v>114500</v>
      </c>
      <c r="L30" s="16"/>
      <c r="M30" s="16">
        <v>9197157308</v>
      </c>
      <c r="N30" s="16"/>
      <c r="O30" s="236">
        <v>7563861753</v>
      </c>
      <c r="P30" s="16"/>
      <c r="Q30" s="16">
        <f t="shared" si="1"/>
        <v>1633295555</v>
      </c>
    </row>
    <row r="31" spans="1:17" s="220" customFormat="1" ht="21.75">
      <c r="A31" s="220" t="s">
        <v>122</v>
      </c>
      <c r="B31" s="221"/>
      <c r="C31" s="16">
        <f>IFERROR(VLOOKUP(A31,' سهام'!$A$10:$M$102,12,0),0)</f>
        <v>20459</v>
      </c>
      <c r="D31" s="16"/>
      <c r="E31" s="16">
        <f>IFERROR(VLOOKUP(A31,' سهام'!$A$10:$M$103,13,0),0)</f>
        <v>475724203</v>
      </c>
      <c r="F31" s="16"/>
      <c r="G31" s="236">
        <v>353558573</v>
      </c>
      <c r="H31" s="16"/>
      <c r="I31" s="16">
        <f t="shared" si="0"/>
        <v>122165630</v>
      </c>
      <c r="J31" s="16"/>
      <c r="K31" s="16">
        <v>27885</v>
      </c>
      <c r="L31" s="16"/>
      <c r="M31" s="16">
        <v>634463040</v>
      </c>
      <c r="N31" s="16"/>
      <c r="O31" s="236">
        <v>481889672</v>
      </c>
      <c r="P31" s="16"/>
      <c r="Q31" s="16">
        <f t="shared" si="1"/>
        <v>152573368</v>
      </c>
    </row>
    <row r="32" spans="1:17" s="220" customFormat="1" ht="21.75">
      <c r="A32" s="220" t="s">
        <v>139</v>
      </c>
      <c r="B32" s="221"/>
      <c r="C32" s="16">
        <f>IFERROR(VLOOKUP(A32,' سهام'!$A$10:$M$102,12,0),0)</f>
        <v>3756</v>
      </c>
      <c r="D32" s="16"/>
      <c r="E32" s="16">
        <f>IFERROR(VLOOKUP(A32,' سهام'!$A$10:$M$103,13,0),0)</f>
        <v>60074484</v>
      </c>
      <c r="F32" s="16"/>
      <c r="G32" s="236">
        <v>66505036</v>
      </c>
      <c r="H32" s="16"/>
      <c r="I32" s="16">
        <f t="shared" si="0"/>
        <v>-6430552</v>
      </c>
      <c r="J32" s="16"/>
      <c r="K32" s="16">
        <v>13157</v>
      </c>
      <c r="L32" s="16"/>
      <c r="M32" s="16">
        <v>235604719</v>
      </c>
      <c r="N32" s="16"/>
      <c r="O32" s="236">
        <v>249178400</v>
      </c>
      <c r="P32" s="16"/>
      <c r="Q32" s="16">
        <f t="shared" si="1"/>
        <v>-13573681</v>
      </c>
    </row>
    <row r="33" spans="1:17" s="220" customFormat="1" ht="21.75">
      <c r="A33" s="220" t="s">
        <v>140</v>
      </c>
      <c r="B33" s="221"/>
      <c r="C33" s="16">
        <f>IFERROR(VLOOKUP(A33,' سهام'!$A$10:$M$102,12,0),0)</f>
        <v>0</v>
      </c>
      <c r="D33" s="16"/>
      <c r="E33" s="16">
        <f>IFERROR(VLOOKUP(A33,' سهام'!$A$10:$M$103,13,0),0)</f>
        <v>0</v>
      </c>
      <c r="F33" s="16"/>
      <c r="G33" s="236">
        <v>0</v>
      </c>
      <c r="H33" s="16"/>
      <c r="I33" s="16">
        <f t="shared" si="0"/>
        <v>0</v>
      </c>
      <c r="J33" s="16"/>
      <c r="K33" s="16">
        <v>625000</v>
      </c>
      <c r="L33" s="16"/>
      <c r="M33" s="16">
        <v>6697099124</v>
      </c>
      <c r="N33" s="16"/>
      <c r="O33" s="236">
        <v>6380788500</v>
      </c>
      <c r="P33" s="16"/>
      <c r="Q33" s="16">
        <f t="shared" si="1"/>
        <v>316310624</v>
      </c>
    </row>
    <row r="34" spans="1:17" s="220" customFormat="1" ht="21.75">
      <c r="A34" s="220" t="s">
        <v>167</v>
      </c>
      <c r="B34" s="221"/>
      <c r="C34" s="16">
        <f>IFERROR(VLOOKUP(A34,' سهام'!$A$10:$M$102,12,0),0)</f>
        <v>1193</v>
      </c>
      <c r="D34" s="16"/>
      <c r="E34" s="16">
        <f>IFERROR(VLOOKUP(A34,' سهام'!$A$10:$M$103,13,0),0)</f>
        <v>24227894</v>
      </c>
      <c r="F34" s="16"/>
      <c r="G34" s="236">
        <v>24371020</v>
      </c>
      <c r="H34" s="16"/>
      <c r="I34" s="16">
        <f t="shared" si="0"/>
        <v>-143126</v>
      </c>
      <c r="J34" s="16"/>
      <c r="K34" s="16">
        <v>1193</v>
      </c>
      <c r="L34" s="16"/>
      <c r="M34" s="16">
        <v>24227894</v>
      </c>
      <c r="N34" s="16"/>
      <c r="O34" s="236">
        <v>24371020</v>
      </c>
      <c r="P34" s="16"/>
      <c r="Q34" s="16">
        <f t="shared" si="1"/>
        <v>-143126</v>
      </c>
    </row>
    <row r="35" spans="1:17" s="220" customFormat="1" ht="21.75">
      <c r="A35" s="220" t="s">
        <v>163</v>
      </c>
      <c r="B35" s="221"/>
      <c r="C35" s="16">
        <f>IFERROR(VLOOKUP(A35,' سهام'!$A$10:$M$102,12,0),0)</f>
        <v>5491</v>
      </c>
      <c r="D35" s="16"/>
      <c r="E35" s="16">
        <f>IFERROR(VLOOKUP(A35,' سهام'!$A$10:$M$103,13,0),0)</f>
        <v>22178266</v>
      </c>
      <c r="F35" s="16"/>
      <c r="G35" s="236">
        <v>21140192</v>
      </c>
      <c r="H35" s="16"/>
      <c r="I35" s="16">
        <f t="shared" si="0"/>
        <v>1038074</v>
      </c>
      <c r="J35" s="16"/>
      <c r="K35" s="16">
        <v>5491</v>
      </c>
      <c r="L35" s="16"/>
      <c r="M35" s="16">
        <v>22178266</v>
      </c>
      <c r="N35" s="16"/>
      <c r="O35" s="236">
        <v>21140192</v>
      </c>
      <c r="P35" s="16"/>
      <c r="Q35" s="16">
        <f t="shared" si="1"/>
        <v>1038074</v>
      </c>
    </row>
    <row r="36" spans="1:17" s="220" customFormat="1" ht="21.75">
      <c r="A36" s="220" t="s">
        <v>169</v>
      </c>
      <c r="B36" s="221"/>
      <c r="C36" s="16">
        <f>IFERROR(VLOOKUP(A36,' سهام'!$A$10:$M$102,12,0),0)</f>
        <v>1559</v>
      </c>
      <c r="D36" s="16"/>
      <c r="E36" s="16">
        <f>IFERROR(VLOOKUP(A36,' سهام'!$A$10:$M$103,13,0),0)</f>
        <v>39813923</v>
      </c>
      <c r="F36" s="16"/>
      <c r="G36" s="236">
        <v>39397183</v>
      </c>
      <c r="H36" s="16"/>
      <c r="I36" s="16">
        <f t="shared" si="0"/>
        <v>416740</v>
      </c>
      <c r="J36" s="16"/>
      <c r="K36" s="16">
        <v>1559</v>
      </c>
      <c r="L36" s="16"/>
      <c r="M36" s="16">
        <v>39813923</v>
      </c>
      <c r="N36" s="16"/>
      <c r="O36" s="236">
        <v>39397183</v>
      </c>
      <c r="P36" s="16"/>
      <c r="Q36" s="16">
        <f t="shared" si="1"/>
        <v>416740</v>
      </c>
    </row>
    <row r="37" spans="1:17" s="220" customFormat="1" ht="21.75">
      <c r="A37" s="220" t="s">
        <v>168</v>
      </c>
      <c r="B37" s="221"/>
      <c r="C37" s="16">
        <f>IFERROR(VLOOKUP(A37,' سهام'!$A$10:$M$102,12,0),0)</f>
        <v>750</v>
      </c>
      <c r="D37" s="16"/>
      <c r="E37" s="16">
        <f>IFERROR(VLOOKUP(A37,' سهام'!$A$10:$M$103,13,0),0)</f>
        <v>35651607</v>
      </c>
      <c r="F37" s="16"/>
      <c r="G37" s="236">
        <v>39358991</v>
      </c>
      <c r="H37" s="16"/>
      <c r="I37" s="16">
        <f t="shared" si="0"/>
        <v>-3707384</v>
      </c>
      <c r="J37" s="16"/>
      <c r="K37" s="16">
        <v>750</v>
      </c>
      <c r="L37" s="16"/>
      <c r="M37" s="16">
        <v>35651607</v>
      </c>
      <c r="N37" s="16"/>
      <c r="O37" s="236">
        <v>39358991</v>
      </c>
      <c r="P37" s="16"/>
      <c r="Q37" s="16">
        <f t="shared" si="1"/>
        <v>-3707384</v>
      </c>
    </row>
    <row r="38" spans="1:17" s="220" customFormat="1" ht="21.75">
      <c r="A38" s="220" t="s">
        <v>166</v>
      </c>
      <c r="B38" s="221"/>
      <c r="C38" s="16">
        <f>IFERROR(VLOOKUP(A38,' سهام'!$A$10:$M$102,12,0),0)</f>
        <v>593</v>
      </c>
      <c r="D38" s="16"/>
      <c r="E38" s="16">
        <f>IFERROR(VLOOKUP(A38,' سهام'!$A$10:$M$103,13,0),0)</f>
        <v>38887277</v>
      </c>
      <c r="F38" s="16"/>
      <c r="G38" s="236">
        <v>39266325</v>
      </c>
      <c r="H38" s="16"/>
      <c r="I38" s="16">
        <f t="shared" si="0"/>
        <v>-379048</v>
      </c>
      <c r="J38" s="16"/>
      <c r="K38" s="16">
        <v>593</v>
      </c>
      <c r="L38" s="16"/>
      <c r="M38" s="16">
        <v>38887277</v>
      </c>
      <c r="N38" s="16"/>
      <c r="O38" s="236">
        <v>39266325</v>
      </c>
      <c r="P38" s="16"/>
      <c r="Q38" s="16">
        <f t="shared" si="1"/>
        <v>-379048</v>
      </c>
    </row>
    <row r="39" spans="1:17" s="220" customFormat="1" ht="21.75">
      <c r="A39" s="220" t="s">
        <v>164</v>
      </c>
      <c r="B39" s="221"/>
      <c r="C39" s="16">
        <f>IFERROR(VLOOKUP(A39,' سهام'!$A$10:$M$102,12,0),0)</f>
        <v>1139</v>
      </c>
      <c r="D39" s="16"/>
      <c r="E39" s="16">
        <f>IFERROR(VLOOKUP(A39,' سهام'!$A$10:$M$103,13,0),0)</f>
        <v>27240414</v>
      </c>
      <c r="F39" s="16"/>
      <c r="G39" s="236">
        <v>29294103</v>
      </c>
      <c r="H39" s="16"/>
      <c r="I39" s="16">
        <f t="shared" si="0"/>
        <v>-2053689</v>
      </c>
      <c r="J39" s="16"/>
      <c r="K39" s="16">
        <v>1139</v>
      </c>
      <c r="L39" s="16"/>
      <c r="M39" s="16">
        <v>27240414</v>
      </c>
      <c r="N39" s="16"/>
      <c r="O39" s="236">
        <v>29294103</v>
      </c>
      <c r="P39" s="16"/>
      <c r="Q39" s="16">
        <f t="shared" si="1"/>
        <v>-2053689</v>
      </c>
    </row>
    <row r="40" spans="1:17" s="220" customFormat="1" ht="21.75">
      <c r="A40" s="220" t="s">
        <v>150</v>
      </c>
      <c r="B40" s="221"/>
      <c r="C40" s="16">
        <f>IFERROR(VLOOKUP(A40,' سهام'!$A$10:$M$102,12,0),0)</f>
        <v>0</v>
      </c>
      <c r="D40" s="16"/>
      <c r="E40" s="16">
        <f>IFERROR(VLOOKUP(A40,' سهام'!$A$10:$M$103,13,0),0)</f>
        <v>0</v>
      </c>
      <c r="F40" s="16"/>
      <c r="G40" s="236">
        <v>0</v>
      </c>
      <c r="H40" s="16"/>
      <c r="I40" s="16">
        <f t="shared" si="0"/>
        <v>0</v>
      </c>
      <c r="J40" s="16"/>
      <c r="K40" s="16">
        <v>29443</v>
      </c>
      <c r="L40" s="16"/>
      <c r="M40" s="16">
        <v>194822669</v>
      </c>
      <c r="N40" s="16"/>
      <c r="O40" s="236">
        <v>320949162</v>
      </c>
      <c r="P40" s="16"/>
      <c r="Q40" s="16">
        <f t="shared" si="1"/>
        <v>-126126493</v>
      </c>
    </row>
    <row r="41" spans="1:17" s="220" customFormat="1" ht="21.75">
      <c r="A41" s="220" t="s">
        <v>161</v>
      </c>
      <c r="B41" s="221"/>
      <c r="C41" s="16">
        <f>IFERROR(VLOOKUP(A41,' سهام'!$A$10:$M$102,12,0),0)</f>
        <v>67531</v>
      </c>
      <c r="D41" s="16"/>
      <c r="E41" s="16">
        <f>IFERROR(VLOOKUP(A41,' سهام'!$A$10:$M$103,13,0),0)</f>
        <v>96404345</v>
      </c>
      <c r="F41" s="16"/>
      <c r="G41" s="236">
        <v>120403802</v>
      </c>
      <c r="H41" s="16"/>
      <c r="I41" s="16">
        <f t="shared" si="0"/>
        <v>-23999457</v>
      </c>
      <c r="J41" s="16"/>
      <c r="K41" s="16">
        <v>20361</v>
      </c>
      <c r="L41" s="16"/>
      <c r="M41" s="16">
        <v>96404345</v>
      </c>
      <c r="N41" s="16"/>
      <c r="O41" s="236">
        <v>120403802</v>
      </c>
      <c r="P41" s="16"/>
      <c r="Q41" s="16">
        <f t="shared" si="1"/>
        <v>-23999457</v>
      </c>
    </row>
    <row r="42" spans="1:17" s="220" customFormat="1" ht="21.75">
      <c r="A42" s="220" t="s">
        <v>107</v>
      </c>
      <c r="B42" s="221"/>
      <c r="C42" s="16">
        <f>IFERROR(VLOOKUP(A42,اوراق!$A$9:$W$48,22,0),0)</f>
        <v>0</v>
      </c>
      <c r="D42" s="16"/>
      <c r="E42" s="16">
        <f>IFERROR(VLOOKUP(A42,' سهام'!$A$10:$M$103,13,0),0)</f>
        <v>0</v>
      </c>
      <c r="F42" s="16"/>
      <c r="G42" s="236">
        <v>0</v>
      </c>
      <c r="H42" s="16"/>
      <c r="I42" s="16">
        <f t="shared" si="0"/>
        <v>0</v>
      </c>
      <c r="J42" s="16"/>
      <c r="K42" s="16">
        <v>6500</v>
      </c>
      <c r="L42" s="16"/>
      <c r="M42" s="16">
        <v>4649416185</v>
      </c>
      <c r="N42" s="16"/>
      <c r="O42" s="236">
        <v>4511808615</v>
      </c>
      <c r="P42" s="16"/>
      <c r="Q42" s="16">
        <f t="shared" si="1"/>
        <v>137607570</v>
      </c>
    </row>
    <row r="43" spans="1:17" s="220" customFormat="1" ht="21.75">
      <c r="A43" s="220" t="s">
        <v>111</v>
      </c>
      <c r="B43" s="221"/>
      <c r="C43" s="16">
        <f>IFERROR(VLOOKUP(A43,اوراق!$A$9:$W$48,22,0),0)</f>
        <v>265</v>
      </c>
      <c r="D43" s="16"/>
      <c r="E43" s="16">
        <f>IFERROR(VLOOKUP(A43,اوراق!$A$9:$AG$48,23,0),0)</f>
        <v>211033663</v>
      </c>
      <c r="F43" s="16"/>
      <c r="G43" s="236">
        <v>178640251</v>
      </c>
      <c r="H43" s="16"/>
      <c r="I43" s="16">
        <f t="shared" si="0"/>
        <v>32393412</v>
      </c>
      <c r="J43" s="16"/>
      <c r="K43" s="16">
        <v>16445</v>
      </c>
      <c r="L43" s="16"/>
      <c r="M43" s="16">
        <v>11251793978</v>
      </c>
      <c r="N43" s="16"/>
      <c r="O43" s="236">
        <v>11085807266</v>
      </c>
      <c r="P43" s="16"/>
      <c r="Q43" s="16">
        <f t="shared" si="1"/>
        <v>165986712</v>
      </c>
    </row>
    <row r="44" spans="1:17" s="220" customFormat="1" ht="21.75">
      <c r="A44" s="220" t="s">
        <v>112</v>
      </c>
      <c r="B44" s="221"/>
      <c r="C44" s="16">
        <f>IFERROR(VLOOKUP(A44,اوراق!$A$9:$W$48,22,0),0)</f>
        <v>0</v>
      </c>
      <c r="D44" s="16"/>
      <c r="E44" s="16">
        <f>IFERROR(VLOOKUP(A44,اوراق!$A$9:$AG$48,23,0),0)</f>
        <v>0</v>
      </c>
      <c r="F44" s="16"/>
      <c r="G44" s="236">
        <v>0</v>
      </c>
      <c r="H44" s="16"/>
      <c r="I44" s="16">
        <f t="shared" si="0"/>
        <v>0</v>
      </c>
      <c r="J44" s="16"/>
      <c r="K44" s="16">
        <v>29100</v>
      </c>
      <c r="L44" s="16"/>
      <c r="M44" s="16">
        <v>19465077430</v>
      </c>
      <c r="N44" s="16"/>
      <c r="O44" s="236">
        <v>18932887958</v>
      </c>
      <c r="P44" s="16"/>
      <c r="Q44" s="16">
        <f t="shared" si="1"/>
        <v>532189472</v>
      </c>
    </row>
    <row r="45" spans="1:17" s="220" customFormat="1" ht="21.75">
      <c r="A45" s="220" t="s">
        <v>113</v>
      </c>
      <c r="B45" s="221"/>
      <c r="C45" s="16">
        <f>IFERROR(VLOOKUP(A45,اوراق!$A$9:$W$48,22,0),0)</f>
        <v>223</v>
      </c>
      <c r="D45" s="16"/>
      <c r="E45" s="16">
        <f>IFERROR(VLOOKUP(A45,اوراق!$A$9:$AG$48,23,0),0)</f>
        <v>139858278</v>
      </c>
      <c r="F45" s="16"/>
      <c r="G45" s="236">
        <v>122334696</v>
      </c>
      <c r="H45" s="16"/>
      <c r="I45" s="16">
        <f t="shared" si="0"/>
        <v>17523582</v>
      </c>
      <c r="J45" s="16"/>
      <c r="K45" s="16">
        <v>16233</v>
      </c>
      <c r="L45" s="16"/>
      <c r="M45" s="16">
        <v>8809946542</v>
      </c>
      <c r="N45" s="16"/>
      <c r="O45" s="236">
        <v>8905197834</v>
      </c>
      <c r="P45" s="16"/>
      <c r="Q45" s="16">
        <f t="shared" si="1"/>
        <v>-95251292</v>
      </c>
    </row>
    <row r="46" spans="1:17" s="220" customFormat="1" ht="21.75">
      <c r="A46" s="220" t="s">
        <v>126</v>
      </c>
      <c r="B46" s="221"/>
      <c r="C46" s="16">
        <f>IFERROR(VLOOKUP(A46,اوراق!$A$9:$W$48,22,0),0)</f>
        <v>158</v>
      </c>
      <c r="D46" s="16"/>
      <c r="E46" s="16">
        <f>IFERROR(VLOOKUP(A46,اوراق!$A$9:$AG$48,23,0),0)</f>
        <v>115088102</v>
      </c>
      <c r="F46" s="16"/>
      <c r="G46" s="236">
        <v>97825178</v>
      </c>
      <c r="H46" s="16"/>
      <c r="I46" s="16">
        <f t="shared" si="0"/>
        <v>17262924</v>
      </c>
      <c r="J46" s="16"/>
      <c r="K46" s="16">
        <v>158</v>
      </c>
      <c r="L46" s="16"/>
      <c r="M46" s="16">
        <v>115088102</v>
      </c>
      <c r="N46" s="16"/>
      <c r="O46" s="236">
        <v>97825178</v>
      </c>
      <c r="P46" s="16"/>
      <c r="Q46" s="16">
        <f t="shared" si="1"/>
        <v>17262924</v>
      </c>
    </row>
    <row r="47" spans="1:17" ht="22.5" thickBot="1">
      <c r="A47" s="54" t="s">
        <v>2</v>
      </c>
      <c r="B47" s="54"/>
      <c r="C47" s="54"/>
      <c r="E47" s="73">
        <f>SUM(E7:E46)</f>
        <v>15914900406</v>
      </c>
      <c r="F47" s="16"/>
      <c r="G47" s="73">
        <f>SUM(G7:G46)</f>
        <v>17042362956</v>
      </c>
      <c r="H47" s="16"/>
      <c r="I47" s="73">
        <f>SUM(I7:I46)</f>
        <v>-1127462550</v>
      </c>
      <c r="J47" s="71"/>
      <c r="K47" s="357"/>
      <c r="L47" s="358"/>
      <c r="M47" s="73">
        <f>SUM(M7:M46)</f>
        <v>318230712179</v>
      </c>
      <c r="N47" s="16"/>
      <c r="O47" s="73">
        <f>SUM(O7:O46)</f>
        <v>306945964615</v>
      </c>
      <c r="P47" s="16"/>
      <c r="Q47" s="73">
        <f>SUM(Q7:Q46)</f>
        <v>11284747564</v>
      </c>
    </row>
    <row r="48" spans="1:17" ht="23.25" thickTop="1">
      <c r="E48" s="49"/>
      <c r="F48" s="196"/>
      <c r="G48" s="49"/>
      <c r="H48" s="49"/>
      <c r="I48" s="49"/>
      <c r="J48" s="196"/>
      <c r="K48" s="196"/>
      <c r="L48" s="196"/>
      <c r="M48" s="51"/>
      <c r="N48" s="196"/>
      <c r="O48" s="51"/>
      <c r="P48" s="196"/>
      <c r="Q48" s="51"/>
    </row>
    <row r="49" spans="1:19" ht="22.5">
      <c r="E49" s="49"/>
      <c r="F49" s="196"/>
      <c r="G49" s="49"/>
      <c r="H49" s="196"/>
      <c r="I49" s="49"/>
      <c r="J49" s="196"/>
      <c r="K49" s="196"/>
      <c r="L49" s="196"/>
      <c r="M49" s="49"/>
      <c r="N49" s="196"/>
      <c r="O49" s="49"/>
      <c r="P49" s="196"/>
      <c r="Q49" s="49"/>
      <c r="S49" s="225"/>
    </row>
    <row r="50" spans="1:19" ht="10.5" customHeight="1">
      <c r="A50" s="149"/>
      <c r="B50" s="149"/>
      <c r="C50" s="149"/>
      <c r="D50" s="149"/>
      <c r="E50" s="45"/>
      <c r="F50" s="45"/>
      <c r="G50" s="45"/>
      <c r="H50" s="45"/>
      <c r="I50" s="2"/>
      <c r="J50" s="2"/>
      <c r="K50" s="2"/>
      <c r="L50" s="2"/>
      <c r="M50" s="2"/>
      <c r="N50" s="2"/>
      <c r="O50" s="2"/>
      <c r="P50" s="2"/>
      <c r="Q50" s="2"/>
    </row>
    <row r="51" spans="1:19" ht="21.75">
      <c r="A51" s="335" t="s">
        <v>40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7"/>
      <c r="S51" s="208"/>
    </row>
    <row r="52" spans="1:19" ht="6" customHeight="1">
      <c r="A52" s="222"/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</row>
    <row r="53" spans="1:19" s="16" customFormat="1" ht="18" customHeight="1"/>
    <row r="54" spans="1:19" s="16" customFormat="1" ht="18" customHeight="1"/>
    <row r="55" spans="1:19" s="16" customFormat="1" ht="18" customHeight="1">
      <c r="I55" s="237"/>
      <c r="Q55" s="237"/>
    </row>
    <row r="56" spans="1:19" s="16" customFormat="1" ht="18" customHeight="1">
      <c r="I56" s="237"/>
      <c r="Q56" s="237"/>
    </row>
    <row r="57" spans="1:19" s="16" customFormat="1" ht="18" customHeight="1">
      <c r="I57" s="237"/>
      <c r="Q57" s="237"/>
    </row>
    <row r="58" spans="1:19" s="16" customFormat="1" ht="18" customHeight="1">
      <c r="I58" s="237"/>
      <c r="Q58" s="237"/>
    </row>
    <row r="59" spans="1:19" s="16" customFormat="1" ht="18" customHeight="1"/>
    <row r="60" spans="1:19" s="16" customFormat="1" ht="21.75"/>
    <row r="61" spans="1:19" s="16" customFormat="1" ht="21.75"/>
    <row r="62" spans="1:19" s="16" customFormat="1" ht="21.75"/>
    <row r="63" spans="1:19" s="16" customFormat="1" ht="21.75"/>
    <row r="64" spans="1:19" s="16" customFormat="1" ht="21.75"/>
    <row r="65" spans="3:20" ht="27">
      <c r="C65" s="223"/>
      <c r="F65" s="196"/>
      <c r="G65" s="196"/>
      <c r="H65" s="196"/>
      <c r="I65" s="223"/>
      <c r="J65" s="196"/>
      <c r="K65" s="223"/>
      <c r="L65" s="196"/>
      <c r="M65" s="224"/>
      <c r="N65" s="196"/>
      <c r="O65" s="196"/>
      <c r="P65" s="196"/>
      <c r="Q65" s="34"/>
    </row>
    <row r="66" spans="3:20" s="34" customFormat="1" ht="24"/>
    <row r="67" spans="3:20" s="34" customFormat="1" ht="27">
      <c r="E67" s="172"/>
    </row>
    <row r="68" spans="3:20" s="34" customFormat="1" ht="24">
      <c r="E68" s="225"/>
    </row>
    <row r="69" spans="3:20" s="34" customFormat="1" ht="24">
      <c r="E69" s="225"/>
      <c r="R69" s="146"/>
    </row>
    <row r="70" spans="3:20" s="34" customFormat="1" ht="24">
      <c r="R70" s="146"/>
      <c r="T70" s="225"/>
    </row>
    <row r="71" spans="3:20" s="34" customFormat="1" ht="24">
      <c r="R71" s="146"/>
      <c r="T71" s="225"/>
    </row>
    <row r="72" spans="3:20" ht="24">
      <c r="E72" s="196"/>
      <c r="F72" s="196"/>
      <c r="G72" s="34"/>
      <c r="H72" s="34"/>
      <c r="I72" s="34"/>
      <c r="J72" s="34"/>
      <c r="K72" s="34"/>
      <c r="L72" s="34"/>
      <c r="M72" s="34"/>
      <c r="N72" s="196"/>
      <c r="O72" s="196"/>
      <c r="P72" s="196"/>
      <c r="Q72" s="225"/>
      <c r="R72" s="146"/>
      <c r="T72" s="225"/>
    </row>
    <row r="73" spans="3:20" ht="24">
      <c r="G73" s="34"/>
      <c r="H73" s="34"/>
      <c r="I73" s="34"/>
      <c r="J73" s="34"/>
      <c r="K73" s="34"/>
      <c r="L73" s="34"/>
      <c r="M73" s="34"/>
      <c r="Q73" s="225"/>
      <c r="R73" s="146"/>
    </row>
    <row r="74" spans="3:20" ht="24">
      <c r="G74" s="34"/>
      <c r="H74" s="34"/>
      <c r="I74" s="34"/>
      <c r="J74" s="34"/>
      <c r="K74" s="34"/>
      <c r="L74" s="34"/>
      <c r="M74" s="34"/>
      <c r="Q74" s="225"/>
      <c r="R74" s="208"/>
      <c r="T74" s="208"/>
    </row>
    <row r="75" spans="3:20" ht="24">
      <c r="I75" s="225"/>
      <c r="Q75" s="34"/>
      <c r="R75" s="226"/>
    </row>
  </sheetData>
  <autoFilter ref="A6:Q6" xr:uid="{00000000-0009-0000-0000-000007000000}">
    <sortState xmlns:xlrd2="http://schemas.microsoft.com/office/spreadsheetml/2017/richdata2" ref="A7:Q20">
      <sortCondition ref="A6"/>
    </sortState>
  </autoFilter>
  <sortState xmlns:xlrd2="http://schemas.microsoft.com/office/spreadsheetml/2017/richdata2" ref="T7:U68">
    <sortCondition descending="1" ref="T6:T68"/>
  </sortState>
  <mergeCells count="8">
    <mergeCell ref="A1:Q1"/>
    <mergeCell ref="A2:Q2"/>
    <mergeCell ref="A3:Q3"/>
    <mergeCell ref="A51:Q51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82" fitToHeight="0" orientation="landscape" r:id="rId1"/>
  <rowBreaks count="1" manualBreakCount="1">
    <brk id="52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AB59"/>
  <sheetViews>
    <sheetView rightToLeft="1" view="pageBreakPreview" zoomScale="70" zoomScaleNormal="100" zoomScaleSheetLayoutView="70" workbookViewId="0">
      <selection activeCell="T31" sqref="T31"/>
    </sheetView>
  </sheetViews>
  <sheetFormatPr defaultColWidth="9.140625" defaultRowHeight="21.75"/>
  <cols>
    <col min="1" max="1" width="35.28515625" style="196" bestFit="1" customWidth="1"/>
    <col min="2" max="2" width="0.5703125" style="196" customWidth="1"/>
    <col min="3" max="3" width="20.28515625" style="2" bestFit="1" customWidth="1"/>
    <col min="4" max="4" width="0.85546875" style="2" customWidth="1"/>
    <col min="5" max="5" width="25.85546875" style="2" customWidth="1"/>
    <col min="6" max="6" width="0.85546875" style="2" customWidth="1"/>
    <col min="7" max="7" width="25.7109375" style="2" bestFit="1" customWidth="1"/>
    <col min="8" max="8" width="0.7109375" style="2" customWidth="1"/>
    <col min="9" max="9" width="25.140625" style="2" customWidth="1"/>
    <col min="10" max="10" width="1.42578125" style="2" customWidth="1"/>
    <col min="11" max="11" width="17.7109375" style="2" bestFit="1" customWidth="1"/>
    <col min="12" max="12" width="1.140625" style="2" customWidth="1"/>
    <col min="13" max="13" width="25.7109375" style="2" bestFit="1" customWidth="1"/>
    <col min="14" max="14" width="1" style="2" customWidth="1"/>
    <col min="15" max="15" width="25.7109375" style="2" bestFit="1" customWidth="1"/>
    <col min="16" max="16" width="1.140625" style="2" customWidth="1"/>
    <col min="17" max="17" width="25.7109375" style="2" bestFit="1" customWidth="1"/>
    <col min="18" max="18" width="5.42578125" style="196" customWidth="1"/>
    <col min="19" max="19" width="17" style="196" bestFit="1" customWidth="1"/>
    <col min="20" max="20" width="13.7109375" style="196" bestFit="1" customWidth="1"/>
    <col min="21" max="21" width="15.5703125" style="17" bestFit="1" customWidth="1"/>
    <col min="22" max="22" width="14.42578125" style="196" bestFit="1" customWidth="1"/>
    <col min="23" max="24" width="13.7109375" style="196" bestFit="1" customWidth="1"/>
    <col min="25" max="25" width="13.7109375" style="196" customWidth="1"/>
    <col min="26" max="26" width="38" style="196" bestFit="1" customWidth="1"/>
    <col min="27" max="27" width="17" style="196" bestFit="1" customWidth="1"/>
    <col min="28" max="16384" width="9.140625" style="196"/>
  </cols>
  <sheetData>
    <row r="1" spans="1:27" ht="22.5">
      <c r="A1" s="322" t="s">
        <v>86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27" ht="22.5">
      <c r="A2" s="322" t="s">
        <v>52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27" ht="22.5">
      <c r="A3" s="322" t="str">
        <f>' سهام'!$A$3</f>
        <v>برای ماه منتهی به 1403/07/30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27">
      <c r="A4" s="288" t="s">
        <v>59</v>
      </c>
      <c r="B4" s="288"/>
      <c r="C4" s="288"/>
      <c r="D4" s="288"/>
      <c r="E4" s="288"/>
      <c r="F4" s="288"/>
      <c r="G4" s="288"/>
      <c r="H4" s="288"/>
    </row>
    <row r="5" spans="1:27" ht="21" customHeight="1" thickBot="1">
      <c r="A5" s="164"/>
      <c r="B5" s="164"/>
      <c r="C5" s="338" t="str">
        <f>'درآمد سرمایه گذاری در سهام '!C7</f>
        <v>طی مهر ماه</v>
      </c>
      <c r="D5" s="338"/>
      <c r="E5" s="338"/>
      <c r="F5" s="338"/>
      <c r="G5" s="338"/>
      <c r="H5" s="338"/>
      <c r="I5" s="338"/>
      <c r="K5" s="338" t="str">
        <f>'درآمد سرمایه گذاری در سهام '!M7</f>
        <v>از ابتدای سال مالی تا پایان مهر ماه</v>
      </c>
      <c r="L5" s="338"/>
      <c r="M5" s="338"/>
      <c r="N5" s="338"/>
      <c r="O5" s="338"/>
      <c r="P5" s="338"/>
      <c r="Q5" s="338"/>
    </row>
    <row r="6" spans="1:27" ht="27" customHeight="1" thickBot="1">
      <c r="A6" s="227" t="s">
        <v>33</v>
      </c>
      <c r="B6" s="227"/>
      <c r="C6" s="27" t="s">
        <v>3</v>
      </c>
      <c r="D6" s="28"/>
      <c r="E6" s="29" t="s">
        <v>18</v>
      </c>
      <c r="F6" s="28"/>
      <c r="G6" s="27" t="s">
        <v>38</v>
      </c>
      <c r="H6" s="28"/>
      <c r="I6" s="30" t="s">
        <v>39</v>
      </c>
      <c r="K6" s="27" t="s">
        <v>3</v>
      </c>
      <c r="L6" s="28"/>
      <c r="M6" s="29" t="s">
        <v>18</v>
      </c>
      <c r="N6" s="28"/>
      <c r="O6" s="27" t="s">
        <v>38</v>
      </c>
      <c r="P6" s="28"/>
      <c r="Q6" s="30" t="s">
        <v>39</v>
      </c>
    </row>
    <row r="7" spans="1:27" s="149" customFormat="1" ht="21.75" customHeight="1">
      <c r="A7" s="228" t="s">
        <v>139</v>
      </c>
      <c r="C7" s="16">
        <f>IFERROR(VLOOKUP(A7,' سهام'!$A$10:$U$103,15,0),0)</f>
        <v>186362</v>
      </c>
      <c r="D7" s="16"/>
      <c r="E7" s="16">
        <f>IFERROR(VLOOKUP(A7,' سهام'!$A$10:$U$103,21,0),0)</f>
        <v>2782502258</v>
      </c>
      <c r="F7" s="16" t="s">
        <v>119</v>
      </c>
      <c r="G7" s="236">
        <v>3151940135</v>
      </c>
      <c r="H7" s="16"/>
      <c r="I7" s="16">
        <f>E7-G7</f>
        <v>-369437877</v>
      </c>
      <c r="J7" s="16"/>
      <c r="K7" s="16">
        <f>IFERROR(VLOOKUP(A7,' سهام'!$A$10:$U$103,15,0),0)</f>
        <v>186362</v>
      </c>
      <c r="L7" s="16"/>
      <c r="M7" s="16">
        <f>IFERROR(VLOOKUP(A7,' سهام'!$A$10:$U$103,21,0),0)</f>
        <v>2782502258</v>
      </c>
      <c r="N7" s="16"/>
      <c r="O7" s="236">
        <v>3299790079</v>
      </c>
      <c r="P7" s="16"/>
      <c r="Q7" s="16">
        <f>M7-O7</f>
        <v>-517287821</v>
      </c>
      <c r="R7" s="200"/>
      <c r="S7" s="126"/>
      <c r="T7" s="200"/>
      <c r="U7" s="45"/>
      <c r="V7" s="45"/>
      <c r="W7" s="200"/>
      <c r="X7" s="200"/>
      <c r="Y7" s="200"/>
      <c r="Z7" s="200"/>
      <c r="AA7" s="45"/>
    </row>
    <row r="8" spans="1:27" s="149" customFormat="1" ht="21.75" customHeight="1">
      <c r="A8" s="228" t="s">
        <v>166</v>
      </c>
      <c r="C8" s="16">
        <f>IFERROR(VLOOKUP(A8,' سهام'!$A$10:$U$103,15,0),0)</f>
        <v>29461</v>
      </c>
      <c r="D8" s="16"/>
      <c r="E8" s="16">
        <f>IFERROR(VLOOKUP(A8,' سهام'!$A$10:$U$103,21,0),0)</f>
        <v>1862863829</v>
      </c>
      <c r="F8" s="16"/>
      <c r="G8" s="236">
        <v>1950801372</v>
      </c>
      <c r="H8" s="16"/>
      <c r="I8" s="16">
        <f t="shared" ref="I8:I34" si="0">E8-G8</f>
        <v>-87937543</v>
      </c>
      <c r="J8" s="16"/>
      <c r="K8" s="16">
        <f>IFERROR(VLOOKUP(A8,' سهام'!$A$10:$U$103,15,0),0)</f>
        <v>29461</v>
      </c>
      <c r="L8" s="16"/>
      <c r="M8" s="16">
        <f>IFERROR(VLOOKUP(A8,' سهام'!$A$10:$U$103,21,0),0)</f>
        <v>1862863829</v>
      </c>
      <c r="N8" s="16"/>
      <c r="O8" s="236">
        <v>1950801372</v>
      </c>
      <c r="P8" s="16"/>
      <c r="Q8" s="16">
        <f t="shared" ref="Q8:Q34" si="1">M8-O8</f>
        <v>-87937543</v>
      </c>
      <c r="R8" s="200"/>
      <c r="S8" s="126"/>
      <c r="T8" s="200"/>
      <c r="U8" s="45"/>
      <c r="V8" s="45"/>
      <c r="W8" s="200"/>
      <c r="X8" s="200"/>
      <c r="Y8" s="200"/>
      <c r="Z8" s="200"/>
      <c r="AA8" s="45"/>
    </row>
    <row r="9" spans="1:27" s="149" customFormat="1" ht="21.75" customHeight="1">
      <c r="A9" s="228" t="s">
        <v>122</v>
      </c>
      <c r="C9" s="16">
        <f>IFERROR(VLOOKUP(A9,' سهام'!$A$10:$U$103,15,0),0)</f>
        <v>44427</v>
      </c>
      <c r="D9" s="16"/>
      <c r="E9" s="16">
        <f>IFERROR(VLOOKUP(A9,' سهام'!$A$10:$U$103,21,0),0)</f>
        <v>1050188042</v>
      </c>
      <c r="F9" s="16"/>
      <c r="G9" s="236">
        <v>1164124742</v>
      </c>
      <c r="H9" s="16"/>
      <c r="I9" s="16">
        <f t="shared" si="0"/>
        <v>-113936700</v>
      </c>
      <c r="J9" s="16"/>
      <c r="K9" s="16">
        <f>IFERROR(VLOOKUP(A9,' سهام'!$A$10:$U$103,15,0),0)</f>
        <v>44427</v>
      </c>
      <c r="L9" s="16"/>
      <c r="M9" s="16">
        <f>IFERROR(VLOOKUP(A9,' سهام'!$A$10:$U$103,21,0),0)</f>
        <v>1050188042</v>
      </c>
      <c r="N9" s="16"/>
      <c r="O9" s="236">
        <v>767757307</v>
      </c>
      <c r="P9" s="16"/>
      <c r="Q9" s="16">
        <f t="shared" si="1"/>
        <v>282430735</v>
      </c>
      <c r="R9" s="200"/>
      <c r="S9" s="126"/>
      <c r="T9" s="200"/>
      <c r="U9" s="45"/>
      <c r="V9" s="45"/>
      <c r="W9" s="200"/>
      <c r="X9" s="200"/>
      <c r="Y9" s="200"/>
      <c r="Z9" s="200"/>
      <c r="AA9" s="45"/>
    </row>
    <row r="10" spans="1:27" s="149" customFormat="1" ht="21.75" customHeight="1">
      <c r="A10" s="228" t="s">
        <v>98</v>
      </c>
      <c r="C10" s="16">
        <f>IFERROR(VLOOKUP(A10,' سهام'!$A$10:$U$103,15,0),0)</f>
        <v>377</v>
      </c>
      <c r="D10" s="16"/>
      <c r="E10" s="16">
        <f>IFERROR(VLOOKUP(A10,' سهام'!$A$10:$U$103,21,0),0)</f>
        <v>16024607</v>
      </c>
      <c r="F10" s="16"/>
      <c r="G10" s="236">
        <v>17055188</v>
      </c>
      <c r="H10" s="16"/>
      <c r="I10" s="16">
        <f t="shared" si="0"/>
        <v>-1030581</v>
      </c>
      <c r="J10" s="16"/>
      <c r="K10" s="16">
        <f>IFERROR(VLOOKUP(A10,' سهام'!$A$10:$U$103,15,0),0)</f>
        <v>377</v>
      </c>
      <c r="L10" s="16"/>
      <c r="M10" s="16">
        <f>IFERROR(VLOOKUP(A10,' سهام'!$A$10:$U$103,21,0),0)</f>
        <v>16024607</v>
      </c>
      <c r="N10" s="16"/>
      <c r="O10" s="236">
        <v>11765824</v>
      </c>
      <c r="P10" s="16"/>
      <c r="Q10" s="16">
        <f t="shared" si="1"/>
        <v>4258783</v>
      </c>
      <c r="R10" s="200"/>
      <c r="S10" s="126"/>
      <c r="T10" s="200"/>
      <c r="U10" s="45"/>
      <c r="V10" s="45"/>
      <c r="W10" s="200"/>
      <c r="X10" s="200"/>
      <c r="Y10" s="200"/>
      <c r="Z10" s="200"/>
      <c r="AA10" s="45"/>
    </row>
    <row r="11" spans="1:27" s="149" customFormat="1" ht="21.75" customHeight="1">
      <c r="A11" s="228" t="s">
        <v>168</v>
      </c>
      <c r="C11" s="16">
        <f>IFERROR(VLOOKUP(A11,' سهام'!$A$10:$U$103,15,0),0)</f>
        <v>37255</v>
      </c>
      <c r="D11" s="16"/>
      <c r="E11" s="16">
        <f>IFERROR(VLOOKUP(A11,' سهام'!$A$10:$U$103,21,0),0)</f>
        <v>1684275977</v>
      </c>
      <c r="F11" s="16"/>
      <c r="G11" s="236">
        <v>1955092286</v>
      </c>
      <c r="H11" s="16"/>
      <c r="I11" s="16">
        <f t="shared" si="0"/>
        <v>-270816309</v>
      </c>
      <c r="J11" s="16"/>
      <c r="K11" s="16">
        <f>IFERROR(VLOOKUP(A11,' سهام'!$A$10:$U$103,15,0),0)</f>
        <v>37255</v>
      </c>
      <c r="L11" s="16"/>
      <c r="M11" s="16">
        <f>IFERROR(VLOOKUP(A11,' سهام'!$A$10:$U$103,21,0),0)</f>
        <v>1684275977</v>
      </c>
      <c r="N11" s="16"/>
      <c r="O11" s="236">
        <v>1955092286</v>
      </c>
      <c r="P11" s="16"/>
      <c r="Q11" s="16">
        <f t="shared" si="1"/>
        <v>-270816309</v>
      </c>
      <c r="R11" s="200"/>
      <c r="S11" s="126"/>
      <c r="T11" s="200"/>
      <c r="U11" s="45"/>
      <c r="V11" s="45"/>
      <c r="W11" s="200"/>
      <c r="X11" s="200"/>
      <c r="Y11" s="200"/>
      <c r="Z11" s="200"/>
      <c r="AA11" s="45"/>
    </row>
    <row r="12" spans="1:27" s="149" customFormat="1" ht="21.75" customHeight="1">
      <c r="A12" s="228" t="s">
        <v>164</v>
      </c>
      <c r="C12" s="16">
        <f>IFERROR(VLOOKUP(A12,' سهام'!$A$10:$U$103,15,0),0)</f>
        <v>56549</v>
      </c>
      <c r="D12" s="16"/>
      <c r="E12" s="16">
        <f>IFERROR(VLOOKUP(A12,' سهام'!$A$10:$U$103,21,0),0)</f>
        <v>1294574650</v>
      </c>
      <c r="F12" s="16"/>
      <c r="G12" s="236">
        <v>1491488840</v>
      </c>
      <c r="H12" s="16"/>
      <c r="I12" s="16">
        <f t="shared" si="0"/>
        <v>-196914190</v>
      </c>
      <c r="J12" s="16"/>
      <c r="K12" s="16">
        <f>IFERROR(VLOOKUP(A12,' سهام'!$A$10:$U$103,15,0),0)</f>
        <v>56549</v>
      </c>
      <c r="L12" s="16"/>
      <c r="M12" s="16">
        <f>IFERROR(VLOOKUP(A12,' سهام'!$A$10:$U$103,21,0),0)</f>
        <v>1294574650</v>
      </c>
      <c r="N12" s="16"/>
      <c r="O12" s="236">
        <v>1454391760</v>
      </c>
      <c r="P12" s="16"/>
      <c r="Q12" s="16">
        <f t="shared" si="1"/>
        <v>-159817110</v>
      </c>
      <c r="R12" s="200"/>
      <c r="S12" s="126"/>
      <c r="T12" s="200"/>
      <c r="U12" s="45"/>
      <c r="V12" s="45"/>
      <c r="W12" s="200"/>
      <c r="X12" s="200"/>
      <c r="Y12" s="200"/>
      <c r="Z12" s="200"/>
      <c r="AA12" s="45"/>
    </row>
    <row r="13" spans="1:27" s="149" customFormat="1" ht="21.75" customHeight="1">
      <c r="A13" s="228" t="s">
        <v>163</v>
      </c>
      <c r="C13" s="16">
        <f>IFERROR(VLOOKUP(A13,' سهام'!$A$10:$U$103,15,0),0)</f>
        <v>272438</v>
      </c>
      <c r="D13" s="16"/>
      <c r="E13" s="16">
        <f>IFERROR(VLOOKUP(A13,' سهام'!$A$10:$U$103,21,0),0)</f>
        <v>1091663307</v>
      </c>
      <c r="F13" s="16"/>
      <c r="G13" s="236">
        <v>1111036083</v>
      </c>
      <c r="H13" s="16"/>
      <c r="I13" s="16">
        <f t="shared" si="0"/>
        <v>-19372776</v>
      </c>
      <c r="J13" s="16"/>
      <c r="K13" s="16">
        <f>IFERROR(VLOOKUP(A13,' سهام'!$A$10:$U$103,15,0),0)</f>
        <v>272438</v>
      </c>
      <c r="L13" s="16"/>
      <c r="M13" s="16">
        <f>IFERROR(VLOOKUP(A13,' سهام'!$A$10:$U$103,21,0),0)</f>
        <v>1091663307</v>
      </c>
      <c r="N13" s="16"/>
      <c r="O13" s="236">
        <v>1048878479</v>
      </c>
      <c r="P13" s="16"/>
      <c r="Q13" s="16">
        <f t="shared" si="1"/>
        <v>42784828</v>
      </c>
      <c r="R13" s="200"/>
      <c r="S13" s="126"/>
      <c r="T13" s="200"/>
      <c r="U13" s="45"/>
      <c r="V13" s="45"/>
      <c r="W13" s="200"/>
      <c r="X13" s="200"/>
      <c r="Y13" s="200"/>
      <c r="Z13" s="200"/>
      <c r="AA13" s="45"/>
    </row>
    <row r="14" spans="1:27" s="149" customFormat="1" ht="21.75" customHeight="1">
      <c r="A14" s="228" t="s">
        <v>104</v>
      </c>
      <c r="C14" s="16">
        <f>IFERROR(VLOOKUP(A14,' سهام'!$A$10:$U$103,15,0),0)</f>
        <v>23675</v>
      </c>
      <c r="D14" s="16"/>
      <c r="E14" s="16">
        <f>IFERROR(VLOOKUP(A14,' سهام'!$A$10:$U$103,21,0),0)</f>
        <v>616123626</v>
      </c>
      <c r="F14" s="16"/>
      <c r="G14" s="236">
        <v>674532332</v>
      </c>
      <c r="H14" s="16"/>
      <c r="I14" s="16">
        <f t="shared" si="0"/>
        <v>-58408706</v>
      </c>
      <c r="J14" s="16"/>
      <c r="K14" s="16">
        <f>IFERROR(VLOOKUP(A14,' سهام'!$A$10:$U$103,15,0),0)</f>
        <v>23675</v>
      </c>
      <c r="L14" s="16"/>
      <c r="M14" s="16">
        <f>IFERROR(VLOOKUP(A14,' سهام'!$A$10:$U$103,21,0),0)</f>
        <v>616123626</v>
      </c>
      <c r="N14" s="16"/>
      <c r="O14" s="236">
        <v>548130311</v>
      </c>
      <c r="P14" s="16"/>
      <c r="Q14" s="16">
        <f t="shared" si="1"/>
        <v>67993315</v>
      </c>
      <c r="R14" s="200"/>
      <c r="S14" s="126"/>
      <c r="T14" s="200"/>
      <c r="U14" s="45"/>
      <c r="V14" s="45"/>
      <c r="W14" s="200"/>
      <c r="X14" s="200"/>
      <c r="Y14" s="200"/>
      <c r="Z14" s="200"/>
      <c r="AA14" s="45"/>
    </row>
    <row r="15" spans="1:27" s="149" customFormat="1" ht="21.75" customHeight="1">
      <c r="A15" s="228" t="s">
        <v>90</v>
      </c>
      <c r="C15" s="16">
        <f>IFERROR(VLOOKUP(A15,' سهام'!$A$10:$U$103,15,0),0)</f>
        <v>142587</v>
      </c>
      <c r="D15" s="16"/>
      <c r="E15" s="16">
        <f>IFERROR(VLOOKUP(A15,' سهام'!$A$10:$U$103,21,0),0)</f>
        <v>2379791219</v>
      </c>
      <c r="F15" s="16"/>
      <c r="G15" s="236">
        <v>2413450510</v>
      </c>
      <c r="H15" s="16"/>
      <c r="I15" s="16">
        <f t="shared" si="0"/>
        <v>-33659291</v>
      </c>
      <c r="J15" s="16"/>
      <c r="K15" s="16">
        <f>IFERROR(VLOOKUP(A15,' سهام'!$A$10:$U$103,15,0),0)</f>
        <v>142587</v>
      </c>
      <c r="L15" s="16"/>
      <c r="M15" s="16">
        <f>IFERROR(VLOOKUP(A15,' سهام'!$A$10:$U$103,21,0),0)</f>
        <v>2379791219</v>
      </c>
      <c r="N15" s="16"/>
      <c r="O15" s="236">
        <v>2477516452</v>
      </c>
      <c r="P15" s="16"/>
      <c r="Q15" s="16">
        <f t="shared" si="1"/>
        <v>-97725233</v>
      </c>
      <c r="R15" s="200"/>
      <c r="S15" s="126"/>
      <c r="T15" s="200"/>
      <c r="U15" s="45"/>
      <c r="V15" s="45"/>
      <c r="W15" s="200"/>
      <c r="X15" s="200"/>
      <c r="Y15" s="200"/>
      <c r="Z15" s="200"/>
      <c r="AA15" s="45"/>
    </row>
    <row r="16" spans="1:27" s="149" customFormat="1" ht="21.75" customHeight="1">
      <c r="A16" s="228" t="s">
        <v>92</v>
      </c>
      <c r="C16" s="16">
        <f>IFERROR(VLOOKUP(A16,' سهام'!$A$10:$U$103,15,0),0)</f>
        <v>378400</v>
      </c>
      <c r="D16" s="16"/>
      <c r="E16" s="16">
        <f>IFERROR(VLOOKUP(A16,' سهام'!$A$10:$U$103,21,0),0)</f>
        <v>2648085583</v>
      </c>
      <c r="F16" s="16"/>
      <c r="G16" s="236">
        <v>2805493078</v>
      </c>
      <c r="H16" s="16"/>
      <c r="I16" s="16">
        <f t="shared" si="0"/>
        <v>-157407495</v>
      </c>
      <c r="J16" s="16"/>
      <c r="K16" s="16">
        <f>IFERROR(VLOOKUP(A16,' سهام'!$A$10:$U$103,15,0),0)</f>
        <v>378400</v>
      </c>
      <c r="L16" s="16"/>
      <c r="M16" s="16">
        <f>IFERROR(VLOOKUP(A16,' سهام'!$A$10:$U$103,21,0),0)</f>
        <v>2648085583</v>
      </c>
      <c r="N16" s="16"/>
      <c r="O16" s="236">
        <v>3248682567</v>
      </c>
      <c r="P16" s="16"/>
      <c r="Q16" s="16">
        <f t="shared" si="1"/>
        <v>-600596984</v>
      </c>
      <c r="R16" s="200"/>
      <c r="S16" s="126"/>
      <c r="T16" s="200"/>
      <c r="U16" s="45"/>
      <c r="V16" s="45"/>
      <c r="W16" s="200"/>
      <c r="X16" s="200"/>
      <c r="Y16" s="200"/>
      <c r="Z16" s="200"/>
      <c r="AA16" s="45"/>
    </row>
    <row r="17" spans="1:27" s="149" customFormat="1" ht="21.75" customHeight="1">
      <c r="A17" s="228" t="s">
        <v>101</v>
      </c>
      <c r="C17" s="16">
        <f>IFERROR(VLOOKUP(A17,' سهام'!$A$10:$U$103,15,0),0)</f>
        <v>27988</v>
      </c>
      <c r="D17" s="16"/>
      <c r="E17" s="16">
        <f>IFERROR(VLOOKUP(A17,' سهام'!$A$10:$U$103,21,0),0)</f>
        <v>805431600</v>
      </c>
      <c r="F17" s="16"/>
      <c r="G17" s="236">
        <v>870891820</v>
      </c>
      <c r="H17" s="16"/>
      <c r="I17" s="16">
        <f t="shared" si="0"/>
        <v>-65460220</v>
      </c>
      <c r="J17" s="16"/>
      <c r="K17" s="16">
        <f>IFERROR(VLOOKUP(A17,' سهام'!$A$10:$U$103,15,0),0)</f>
        <v>27988</v>
      </c>
      <c r="L17" s="16"/>
      <c r="M17" s="16">
        <f>IFERROR(VLOOKUP(A17,' سهام'!$A$10:$U$103,21,0),0)</f>
        <v>805431600</v>
      </c>
      <c r="N17" s="16"/>
      <c r="O17" s="236">
        <v>619169688</v>
      </c>
      <c r="P17" s="16"/>
      <c r="Q17" s="16">
        <f t="shared" si="1"/>
        <v>186261912</v>
      </c>
      <c r="R17" s="200"/>
      <c r="S17" s="126"/>
      <c r="T17" s="200"/>
      <c r="U17" s="45"/>
      <c r="V17" s="45"/>
      <c r="W17" s="200"/>
      <c r="X17" s="200"/>
      <c r="Y17" s="200"/>
      <c r="Z17" s="200"/>
      <c r="AA17" s="45"/>
    </row>
    <row r="18" spans="1:27" s="149" customFormat="1" ht="21.75" customHeight="1">
      <c r="A18" s="228" t="s">
        <v>93</v>
      </c>
      <c r="C18" s="16">
        <f>IFERROR(VLOOKUP(A18,' سهام'!$A$10:$U$103,15,0),0)</f>
        <v>438428</v>
      </c>
      <c r="D18" s="16"/>
      <c r="E18" s="16">
        <f>IFERROR(VLOOKUP(A18,' سهام'!$A$10:$U$103,21,0),0)</f>
        <v>2706438188</v>
      </c>
      <c r="F18" s="16"/>
      <c r="G18" s="236">
        <v>1977881914</v>
      </c>
      <c r="H18" s="16"/>
      <c r="I18" s="16">
        <f t="shared" si="0"/>
        <v>728556274</v>
      </c>
      <c r="J18" s="16"/>
      <c r="K18" s="16">
        <f>IFERROR(VLOOKUP(A18,' سهام'!$A$10:$U$103,15,0),0)</f>
        <v>438428</v>
      </c>
      <c r="L18" s="16"/>
      <c r="M18" s="16">
        <f>IFERROR(VLOOKUP(A18,' سهام'!$A$10:$U$103,21,0),0)</f>
        <v>2706438188</v>
      </c>
      <c r="N18" s="16"/>
      <c r="O18" s="236">
        <v>2953140801</v>
      </c>
      <c r="P18" s="16"/>
      <c r="Q18" s="16">
        <f t="shared" si="1"/>
        <v>-246702613</v>
      </c>
      <c r="R18" s="200"/>
      <c r="S18" s="126"/>
      <c r="T18" s="200"/>
      <c r="U18" s="45"/>
      <c r="V18" s="45"/>
      <c r="W18" s="200"/>
      <c r="X18" s="200"/>
      <c r="Y18" s="200"/>
      <c r="Z18" s="200"/>
      <c r="AA18" s="45"/>
    </row>
    <row r="19" spans="1:27" s="149" customFormat="1" ht="21.75" customHeight="1">
      <c r="A19" s="228" t="s">
        <v>89</v>
      </c>
      <c r="C19" s="16">
        <f>IFERROR(VLOOKUP(A19,' سهام'!$A$10:$U$103,15,0),0)</f>
        <v>268627</v>
      </c>
      <c r="D19" s="16"/>
      <c r="E19" s="16">
        <f>IFERROR(VLOOKUP(A19,' سهام'!$A$10:$U$103,21,0),0)</f>
        <v>5276486509</v>
      </c>
      <c r="F19" s="16"/>
      <c r="G19" s="236">
        <v>4877877723</v>
      </c>
      <c r="H19" s="16"/>
      <c r="I19" s="16">
        <f t="shared" si="0"/>
        <v>398608786</v>
      </c>
      <c r="J19" s="16"/>
      <c r="K19" s="16">
        <f>IFERROR(VLOOKUP(A19,' سهام'!$A$10:$U$103,15,0),0)</f>
        <v>268627</v>
      </c>
      <c r="L19" s="16"/>
      <c r="M19" s="16">
        <f>IFERROR(VLOOKUP(A19,' سهام'!$A$10:$U$103,21,0),0)</f>
        <v>5276486509</v>
      </c>
      <c r="N19" s="16"/>
      <c r="O19" s="236">
        <v>4778734672</v>
      </c>
      <c r="P19" s="16"/>
      <c r="Q19" s="16">
        <f t="shared" si="1"/>
        <v>497751837</v>
      </c>
      <c r="R19" s="200"/>
      <c r="S19" s="126"/>
      <c r="T19" s="200"/>
      <c r="U19" s="45"/>
      <c r="V19" s="45"/>
      <c r="W19" s="200"/>
      <c r="X19" s="200"/>
      <c r="Y19" s="200"/>
      <c r="Z19" s="200"/>
      <c r="AA19" s="45"/>
    </row>
    <row r="20" spans="1:27" s="149" customFormat="1" ht="21.75" customHeight="1">
      <c r="A20" s="228" t="s">
        <v>87</v>
      </c>
      <c r="C20" s="16">
        <f>IFERROR(VLOOKUP(A20,' سهام'!$A$10:$U$103,15,0),0)</f>
        <v>108632</v>
      </c>
      <c r="D20" s="16"/>
      <c r="E20" s="16">
        <f>IFERROR(VLOOKUP(A20,' سهام'!$A$10:$U$103,21,0),0)</f>
        <v>729982927</v>
      </c>
      <c r="F20" s="16"/>
      <c r="G20" s="236">
        <v>469260916</v>
      </c>
      <c r="H20" s="16"/>
      <c r="I20" s="16">
        <f t="shared" si="0"/>
        <v>260722011</v>
      </c>
      <c r="J20" s="16"/>
      <c r="K20" s="16">
        <f>IFERROR(VLOOKUP(A20,' سهام'!$A$10:$U$103,15,0),0)</f>
        <v>108632</v>
      </c>
      <c r="L20" s="16"/>
      <c r="M20" s="16">
        <f>IFERROR(VLOOKUP(A20,' سهام'!$A$10:$U$103,21,0),0)</f>
        <v>729982927</v>
      </c>
      <c r="N20" s="16"/>
      <c r="O20" s="236">
        <v>1282411098</v>
      </c>
      <c r="P20" s="16"/>
      <c r="Q20" s="16">
        <f t="shared" si="1"/>
        <v>-552428171</v>
      </c>
      <c r="R20" s="200"/>
      <c r="S20" s="126"/>
      <c r="T20" s="200"/>
      <c r="U20" s="45"/>
      <c r="V20" s="45"/>
      <c r="W20" s="200"/>
      <c r="X20" s="200"/>
      <c r="Y20" s="200"/>
      <c r="Z20" s="200"/>
      <c r="AA20" s="45"/>
    </row>
    <row r="21" spans="1:27" s="149" customFormat="1" ht="21.75" customHeight="1">
      <c r="A21" s="228" t="s">
        <v>120</v>
      </c>
      <c r="C21" s="16">
        <f>IFERROR(VLOOKUP(A21,' سهام'!$A$10:$U$103,15,0),0)</f>
        <v>128894</v>
      </c>
      <c r="D21" s="16"/>
      <c r="E21" s="16">
        <f>IFERROR(VLOOKUP(A21,' سهام'!$A$10:$U$103,21,0),0)</f>
        <v>1346615621</v>
      </c>
      <c r="F21" s="16"/>
      <c r="G21" s="236">
        <v>1337167899</v>
      </c>
      <c r="H21" s="16"/>
      <c r="I21" s="16">
        <f t="shared" si="0"/>
        <v>9447722</v>
      </c>
      <c r="J21" s="16"/>
      <c r="K21" s="16">
        <f>IFERROR(VLOOKUP(A21,' سهام'!$A$10:$U$103,15,0),0)</f>
        <v>128894</v>
      </c>
      <c r="L21" s="16"/>
      <c r="M21" s="16">
        <f>IFERROR(VLOOKUP(A21,' سهام'!$A$10:$U$103,21,0),0)</f>
        <v>1346615621</v>
      </c>
      <c r="N21" s="16"/>
      <c r="O21" s="236">
        <v>1675949947</v>
      </c>
      <c r="P21" s="16"/>
      <c r="Q21" s="16">
        <f t="shared" si="1"/>
        <v>-329334326</v>
      </c>
      <c r="R21" s="200"/>
      <c r="S21" s="126"/>
      <c r="T21" s="200"/>
      <c r="U21" s="45"/>
      <c r="V21" s="45"/>
      <c r="W21" s="200"/>
      <c r="X21" s="200"/>
      <c r="Y21" s="200"/>
      <c r="Z21" s="200"/>
      <c r="AA21" s="45"/>
    </row>
    <row r="22" spans="1:27" s="149" customFormat="1" ht="21.75" customHeight="1">
      <c r="A22" s="228" t="s">
        <v>94</v>
      </c>
      <c r="C22" s="16">
        <f>IFERROR(VLOOKUP(A22,' سهام'!$A$10:$U$103,15,0),0)</f>
        <v>777194</v>
      </c>
      <c r="D22" s="16"/>
      <c r="E22" s="16">
        <f>IFERROR(VLOOKUP(A22,' سهام'!$A$10:$U$103,21,0),0)</f>
        <v>2064306232</v>
      </c>
      <c r="F22" s="16"/>
      <c r="G22" s="236">
        <v>2016958579</v>
      </c>
      <c r="H22" s="16"/>
      <c r="I22" s="16">
        <f t="shared" si="0"/>
        <v>47347653</v>
      </c>
      <c r="J22" s="16"/>
      <c r="K22" s="16">
        <f>IFERROR(VLOOKUP(A22,' سهام'!$A$10:$U$103,15,0),0)</f>
        <v>777194</v>
      </c>
      <c r="L22" s="16"/>
      <c r="M22" s="16">
        <f>IFERROR(VLOOKUP(A22,' سهام'!$A$10:$U$103,21,0),0)</f>
        <v>2064306232</v>
      </c>
      <c r="N22" s="16"/>
      <c r="O22" s="236">
        <v>1989342199</v>
      </c>
      <c r="P22" s="16"/>
      <c r="Q22" s="16">
        <f t="shared" si="1"/>
        <v>74964033</v>
      </c>
      <c r="R22" s="200"/>
      <c r="S22" s="126"/>
      <c r="T22" s="200"/>
      <c r="U22" s="45"/>
      <c r="V22" s="45"/>
      <c r="W22" s="200"/>
      <c r="X22" s="200"/>
      <c r="Y22" s="200"/>
      <c r="Z22" s="200"/>
      <c r="AA22" s="45"/>
    </row>
    <row r="23" spans="1:27" s="149" customFormat="1" ht="21.75" customHeight="1">
      <c r="A23" s="228" t="s">
        <v>169</v>
      </c>
      <c r="C23" s="16">
        <f>IFERROR(VLOOKUP(A23,' سهام'!$A$10:$U$103,15,0),0)</f>
        <v>77362</v>
      </c>
      <c r="D23" s="16"/>
      <c r="E23" s="16">
        <f>IFERROR(VLOOKUP(A23,' سهام'!$A$10:$U$103,21,0),0)</f>
        <v>1911007152</v>
      </c>
      <c r="F23" s="16"/>
      <c r="G23" s="236">
        <v>1954999927</v>
      </c>
      <c r="H23" s="16"/>
      <c r="I23" s="16">
        <f t="shared" si="0"/>
        <v>-43992775</v>
      </c>
      <c r="J23" s="16"/>
      <c r="K23" s="16">
        <f>IFERROR(VLOOKUP(A23,' سهام'!$A$10:$U$103,15,0),0)</f>
        <v>77362</v>
      </c>
      <c r="L23" s="16"/>
      <c r="M23" s="16">
        <f>IFERROR(VLOOKUP(A23,' سهام'!$A$10:$U$103,21,0),0)</f>
        <v>1911007152</v>
      </c>
      <c r="N23" s="16"/>
      <c r="O23" s="236">
        <v>1954999927</v>
      </c>
      <c r="P23" s="16"/>
      <c r="Q23" s="16">
        <f t="shared" si="1"/>
        <v>-43992775</v>
      </c>
      <c r="R23" s="200"/>
      <c r="S23" s="126"/>
      <c r="T23" s="200"/>
      <c r="U23" s="45"/>
      <c r="V23" s="45"/>
      <c r="W23" s="200"/>
      <c r="X23" s="200"/>
      <c r="Y23" s="200"/>
      <c r="Z23" s="200"/>
      <c r="AA23" s="45"/>
    </row>
    <row r="24" spans="1:27" s="149" customFormat="1" ht="21.75" customHeight="1">
      <c r="A24" s="228" t="s">
        <v>167</v>
      </c>
      <c r="C24" s="16">
        <f>IFERROR(VLOOKUP(A24,' سهام'!$A$10:$U$103,15,0),0)</f>
        <v>59223</v>
      </c>
      <c r="D24" s="16"/>
      <c r="E24" s="16">
        <f>IFERROR(VLOOKUP(A24,' سهام'!$A$10:$U$103,21,0),0)</f>
        <v>1162694811</v>
      </c>
      <c r="F24" s="16"/>
      <c r="G24" s="236">
        <v>1209828099</v>
      </c>
      <c r="H24" s="16"/>
      <c r="I24" s="16">
        <f t="shared" si="0"/>
        <v>-47133288</v>
      </c>
      <c r="J24" s="16"/>
      <c r="K24" s="16">
        <f>IFERROR(VLOOKUP(A24,' سهام'!$A$10:$U$103,15,0),0)</f>
        <v>59223</v>
      </c>
      <c r="L24" s="16"/>
      <c r="M24" s="16">
        <f>IFERROR(VLOOKUP(A24,' سهام'!$A$10:$U$103,21,0),0)</f>
        <v>1162694811</v>
      </c>
      <c r="N24" s="16"/>
      <c r="O24" s="236">
        <v>1209828099</v>
      </c>
      <c r="P24" s="16"/>
      <c r="Q24" s="16">
        <f t="shared" si="1"/>
        <v>-47133288</v>
      </c>
      <c r="R24" s="200"/>
      <c r="S24" s="126"/>
      <c r="T24" s="200"/>
      <c r="U24" s="45"/>
      <c r="V24" s="45"/>
      <c r="W24" s="200"/>
      <c r="X24" s="200"/>
      <c r="Y24" s="200"/>
      <c r="Z24" s="200"/>
      <c r="AA24" s="45"/>
    </row>
    <row r="25" spans="1:27" s="149" customFormat="1" ht="21.75" customHeight="1">
      <c r="A25" s="228" t="s">
        <v>102</v>
      </c>
      <c r="C25" s="16">
        <f>IFERROR(VLOOKUP(A25,' سهام'!$A$10:$U$103,15,0),0)</f>
        <v>45721</v>
      </c>
      <c r="D25" s="16"/>
      <c r="E25" s="16">
        <f>IFERROR(VLOOKUP(A25,' سهام'!$A$10:$U$103,21,0),0)</f>
        <v>482213471</v>
      </c>
      <c r="F25" s="16"/>
      <c r="G25" s="236">
        <v>439010388</v>
      </c>
      <c r="H25" s="16"/>
      <c r="I25" s="16">
        <f t="shared" si="0"/>
        <v>43203083</v>
      </c>
      <c r="J25" s="16"/>
      <c r="K25" s="16">
        <f>IFERROR(VLOOKUP(A25,' سهام'!$A$10:$U$103,15,0),0)</f>
        <v>45721</v>
      </c>
      <c r="L25" s="16"/>
      <c r="M25" s="16">
        <f>IFERROR(VLOOKUP(A25,' سهام'!$A$10:$U$103,21,0),0)</f>
        <v>482213471</v>
      </c>
      <c r="N25" s="16"/>
      <c r="O25" s="236">
        <v>671408918</v>
      </c>
      <c r="P25" s="16"/>
      <c r="Q25" s="16">
        <f t="shared" si="1"/>
        <v>-189195447</v>
      </c>
      <c r="R25" s="200"/>
      <c r="S25" s="126"/>
      <c r="T25" s="200"/>
      <c r="U25" s="45"/>
      <c r="V25" s="45"/>
      <c r="W25" s="200"/>
      <c r="X25" s="200"/>
      <c r="Y25" s="200"/>
      <c r="Z25" s="200"/>
      <c r="AA25" s="45"/>
    </row>
    <row r="26" spans="1:27" s="149" customFormat="1" ht="21.75" customHeight="1">
      <c r="A26" s="228" t="s">
        <v>110</v>
      </c>
      <c r="C26" s="16">
        <f>IFERROR(VLOOKUP(A26,' سهام'!$A$10:$U$103,15,0),0)</f>
        <v>1102916</v>
      </c>
      <c r="D26" s="16"/>
      <c r="E26" s="16">
        <f>IFERROR(VLOOKUP(A26,' سهام'!$A$10:$U$103,21,0),0)</f>
        <v>2883410101</v>
      </c>
      <c r="F26" s="16"/>
      <c r="G26" s="236">
        <v>3539013769</v>
      </c>
      <c r="H26" s="16"/>
      <c r="I26" s="16">
        <f t="shared" si="0"/>
        <v>-655603668</v>
      </c>
      <c r="J26" s="16"/>
      <c r="K26" s="16">
        <f>IFERROR(VLOOKUP(A26,' سهام'!$A$10:$U$103,15,0),0)</f>
        <v>1102916</v>
      </c>
      <c r="L26" s="16"/>
      <c r="M26" s="16">
        <f>IFERROR(VLOOKUP(A26,' سهام'!$A$10:$U$103,21,0),0)</f>
        <v>2883410101</v>
      </c>
      <c r="N26" s="16"/>
      <c r="O26" s="236">
        <v>3417374099</v>
      </c>
      <c r="P26" s="16"/>
      <c r="Q26" s="16">
        <f t="shared" si="1"/>
        <v>-533963998</v>
      </c>
      <c r="R26" s="200"/>
      <c r="S26" s="126"/>
      <c r="T26" s="200"/>
      <c r="U26" s="45"/>
      <c r="V26" s="45"/>
      <c r="W26" s="200"/>
      <c r="X26" s="200"/>
      <c r="Y26" s="200"/>
      <c r="Z26" s="200"/>
      <c r="AA26" s="45"/>
    </row>
    <row r="27" spans="1:27" s="149" customFormat="1" ht="21.75" customHeight="1">
      <c r="A27" s="228" t="s">
        <v>123</v>
      </c>
      <c r="C27" s="16">
        <f>IFERROR(VLOOKUP(A27,' سهام'!$A$10:$U$103,15,0),0)</f>
        <v>1450722</v>
      </c>
      <c r="D27" s="16"/>
      <c r="E27" s="16">
        <f>IFERROR(VLOOKUP(A27,' سهام'!$A$10:$U$103,21,0),0)</f>
        <v>1573320415</v>
      </c>
      <c r="F27" s="16"/>
      <c r="G27" s="236">
        <v>1625224164</v>
      </c>
      <c r="H27" s="16"/>
      <c r="I27" s="16">
        <f t="shared" si="0"/>
        <v>-51903749</v>
      </c>
      <c r="J27" s="16"/>
      <c r="K27" s="16">
        <f>IFERROR(VLOOKUP(A27,' سهام'!$A$10:$U$103,15,0),0)</f>
        <v>1450722</v>
      </c>
      <c r="L27" s="16"/>
      <c r="M27" s="16">
        <f>IFERROR(VLOOKUP(A27,' سهام'!$A$10:$U$103,21,0),0)</f>
        <v>1573320415</v>
      </c>
      <c r="N27" s="16"/>
      <c r="O27" s="236">
        <v>1744826930</v>
      </c>
      <c r="P27" s="16"/>
      <c r="Q27" s="16">
        <f t="shared" si="1"/>
        <v>-171506515</v>
      </c>
      <c r="R27" s="200"/>
      <c r="S27" s="126"/>
      <c r="T27" s="200"/>
      <c r="U27" s="45"/>
      <c r="V27" s="45"/>
      <c r="W27" s="200"/>
      <c r="X27" s="200"/>
      <c r="Y27" s="200"/>
      <c r="Z27" s="200"/>
      <c r="AA27" s="45"/>
    </row>
    <row r="28" spans="1:27" s="149" customFormat="1" ht="21.75" customHeight="1">
      <c r="A28" s="228" t="s">
        <v>109</v>
      </c>
      <c r="C28" s="16">
        <f>IFERROR(VLOOKUP(A28,' سهام'!$A$10:$U$103,15,0),0)</f>
        <v>291889</v>
      </c>
      <c r="D28" s="16"/>
      <c r="E28" s="16">
        <f>IFERROR(VLOOKUP(A28,' سهام'!$A$10:$U$103,21,0),0)</f>
        <v>1793140972</v>
      </c>
      <c r="F28" s="16"/>
      <c r="G28" s="236">
        <v>1861939790</v>
      </c>
      <c r="H28" s="16"/>
      <c r="I28" s="16">
        <f t="shared" si="0"/>
        <v>-68798818</v>
      </c>
      <c r="J28" s="16"/>
      <c r="K28" s="16">
        <f>IFERROR(VLOOKUP(A28,' سهام'!$A$10:$U$103,15,0),0)</f>
        <v>291889</v>
      </c>
      <c r="L28" s="16"/>
      <c r="M28" s="16">
        <f>IFERROR(VLOOKUP(A28,' سهام'!$A$10:$U$103,21,0),0)</f>
        <v>1793140972</v>
      </c>
      <c r="N28" s="16"/>
      <c r="O28" s="236">
        <v>2017960684</v>
      </c>
      <c r="P28" s="16"/>
      <c r="Q28" s="16">
        <f t="shared" si="1"/>
        <v>-224819712</v>
      </c>
      <c r="R28" s="200"/>
      <c r="S28" s="126"/>
      <c r="T28" s="200"/>
      <c r="U28" s="45"/>
      <c r="V28" s="45"/>
      <c r="W28" s="200"/>
      <c r="X28" s="200"/>
      <c r="Y28" s="200"/>
      <c r="Z28" s="200"/>
      <c r="AA28" s="45"/>
    </row>
    <row r="29" spans="1:27" s="149" customFormat="1" ht="21.75" customHeight="1">
      <c r="A29" s="228" t="s">
        <v>124</v>
      </c>
      <c r="C29" s="16">
        <f>IFERROR(VLOOKUP(A29,' سهام'!$A$10:$U$103,15,0),0)</f>
        <v>572500</v>
      </c>
      <c r="D29" s="16"/>
      <c r="E29" s="16">
        <f>IFERROR(VLOOKUP(A29,' سهام'!$A$10:$U$103,21,0),0)</f>
        <v>8433967525</v>
      </c>
      <c r="F29" s="16"/>
      <c r="G29" s="236">
        <v>7762437046</v>
      </c>
      <c r="H29" s="16"/>
      <c r="I29" s="16">
        <f t="shared" si="0"/>
        <v>671530479</v>
      </c>
      <c r="J29" s="16"/>
      <c r="K29" s="16">
        <f>IFERROR(VLOOKUP(A29,' سهام'!$A$10:$U$103,15,0),0)</f>
        <v>572500</v>
      </c>
      <c r="L29" s="16"/>
      <c r="M29" s="16">
        <f>IFERROR(VLOOKUP(A29,' سهام'!$A$10:$U$103,21,0),0)</f>
        <v>8433967525</v>
      </c>
      <c r="N29" s="16"/>
      <c r="O29" s="236">
        <v>7563861753</v>
      </c>
      <c r="P29" s="16"/>
      <c r="Q29" s="16">
        <f t="shared" si="1"/>
        <v>870105772</v>
      </c>
      <c r="R29" s="200"/>
      <c r="S29" s="126"/>
      <c r="T29" s="200"/>
      <c r="U29" s="45"/>
      <c r="V29" s="45"/>
      <c r="W29" s="200"/>
      <c r="X29" s="200"/>
      <c r="Y29" s="200"/>
      <c r="Z29" s="200"/>
      <c r="AA29" s="45"/>
    </row>
    <row r="30" spans="1:27" s="149" customFormat="1" ht="21.75" customHeight="1">
      <c r="A30" s="228" t="s">
        <v>125</v>
      </c>
      <c r="C30" s="16">
        <f>IFERROR(VLOOKUP(A30,' سهام'!$A$10:$U$103,15,0),0)</f>
        <v>200000</v>
      </c>
      <c r="D30" s="16"/>
      <c r="E30" s="16">
        <f>IFERROR(VLOOKUP(A30,' سهام'!$A$10:$U$103,21,0),0)</f>
        <v>1668015900</v>
      </c>
      <c r="F30" s="16"/>
      <c r="G30" s="236">
        <v>2055695400</v>
      </c>
      <c r="H30" s="16"/>
      <c r="I30" s="16">
        <f t="shared" si="0"/>
        <v>-387679500</v>
      </c>
      <c r="J30" s="16"/>
      <c r="K30" s="16">
        <f>IFERROR(VLOOKUP(A30,' سهام'!$A$10:$U$103,15,0),0)</f>
        <v>200000</v>
      </c>
      <c r="L30" s="16"/>
      <c r="M30" s="16">
        <f>IFERROR(VLOOKUP(A30,' سهام'!$A$10:$U$103,21,0),0)</f>
        <v>1668015900</v>
      </c>
      <c r="N30" s="16"/>
      <c r="O30" s="236">
        <v>1691534520</v>
      </c>
      <c r="P30" s="16"/>
      <c r="Q30" s="16">
        <f t="shared" si="1"/>
        <v>-23518620</v>
      </c>
      <c r="R30" s="200"/>
      <c r="S30" s="126"/>
      <c r="T30" s="200"/>
      <c r="U30" s="45"/>
      <c r="V30" s="45"/>
      <c r="W30" s="200"/>
      <c r="X30" s="200"/>
      <c r="Y30" s="200"/>
      <c r="Z30" s="200"/>
      <c r="AA30" s="45"/>
    </row>
    <row r="31" spans="1:27" s="149" customFormat="1" ht="21.75" customHeight="1">
      <c r="A31" s="228" t="s">
        <v>161</v>
      </c>
      <c r="C31" s="16">
        <f>IFERROR(VLOOKUP(A31,' سهام'!$A$10:$U$103,15,0),0)</f>
        <v>0</v>
      </c>
      <c r="D31" s="16"/>
      <c r="E31" s="16">
        <f>IFERROR(VLOOKUP(A31,' سهام'!$A$10:$U$103,21,0),0)</f>
        <v>0</v>
      </c>
      <c r="F31" s="16"/>
      <c r="G31" s="236">
        <v>-31858711</v>
      </c>
      <c r="H31" s="16"/>
      <c r="I31" s="16">
        <f t="shared" si="0"/>
        <v>31858711</v>
      </c>
      <c r="J31" s="16"/>
      <c r="K31" s="16">
        <f>IFERROR(VLOOKUP(A31,' سهام'!$A$10:$U$103,15,0),0)</f>
        <v>0</v>
      </c>
      <c r="L31" s="16"/>
      <c r="M31" s="16">
        <f>IFERROR(VLOOKUP(A31,' سهام'!$A$10:$U$103,21,0),0)</f>
        <v>0</v>
      </c>
      <c r="N31" s="16"/>
      <c r="O31" s="236">
        <v>0</v>
      </c>
      <c r="P31" s="16"/>
      <c r="Q31" s="16">
        <f t="shared" si="1"/>
        <v>0</v>
      </c>
      <c r="R31" s="200"/>
      <c r="S31" s="126"/>
      <c r="T31" s="200"/>
      <c r="U31" s="45"/>
      <c r="V31" s="45"/>
      <c r="W31" s="200"/>
      <c r="X31" s="200"/>
      <c r="Y31" s="200"/>
      <c r="Z31" s="200"/>
      <c r="AA31" s="45"/>
    </row>
    <row r="32" spans="1:27" s="149" customFormat="1" ht="21.75" customHeight="1">
      <c r="A32" s="228" t="s">
        <v>111</v>
      </c>
      <c r="C32" s="16">
        <f>IFERROR(VLOOKUP(A32,اوراق!$A$9:$AE$48,25,0),0)</f>
        <v>13155</v>
      </c>
      <c r="D32" s="16"/>
      <c r="E32" s="16">
        <f>IFERROR(VLOOKUP(A32,اوراق!$A$9:$AE$48,31,0),0)</f>
        <v>10505651758</v>
      </c>
      <c r="F32" s="16"/>
      <c r="G32" s="236">
        <v>10359651539</v>
      </c>
      <c r="H32" s="16"/>
      <c r="I32" s="16">
        <f t="shared" si="0"/>
        <v>146000219</v>
      </c>
      <c r="J32" s="16"/>
      <c r="K32" s="16">
        <f>IFERROR(VLOOKUP(A32,اوراق!$A$9:$AE$48,25,0),0)</f>
        <v>13155</v>
      </c>
      <c r="L32" s="16"/>
      <c r="M32" s="16">
        <f>IFERROR(VLOOKUP(A32,اوراق!$A$9:$AE$48,31,0),0)</f>
        <v>10505651758</v>
      </c>
      <c r="N32" s="16"/>
      <c r="O32" s="236">
        <v>8867971697</v>
      </c>
      <c r="P32" s="16"/>
      <c r="Q32" s="16">
        <f t="shared" si="1"/>
        <v>1637680061</v>
      </c>
      <c r="R32" s="200"/>
      <c r="S32" s="126"/>
      <c r="T32" s="200"/>
      <c r="U32" s="45"/>
      <c r="V32" s="45"/>
      <c r="W32" s="200"/>
      <c r="X32" s="200"/>
      <c r="Y32" s="200"/>
      <c r="Z32" s="200"/>
      <c r="AA32" s="45"/>
    </row>
    <row r="33" spans="1:28" s="149" customFormat="1" ht="21.75" customHeight="1">
      <c r="A33" s="228" t="s">
        <v>126</v>
      </c>
      <c r="C33" s="16">
        <f>IFERROR(VLOOKUP(A33,اوراق!$A$9:$AE$48,25,0),0)</f>
        <v>7842</v>
      </c>
      <c r="D33" s="16"/>
      <c r="E33" s="16">
        <f>IFERROR(VLOOKUP(A33,اوراق!$A$9:$AE$48,31,0),0)</f>
        <v>5715781828</v>
      </c>
      <c r="F33" s="16"/>
      <c r="G33" s="236">
        <v>5678487676</v>
      </c>
      <c r="H33" s="16"/>
      <c r="I33" s="16">
        <f t="shared" si="0"/>
        <v>37294152</v>
      </c>
      <c r="J33" s="16"/>
      <c r="K33" s="16">
        <f>IFERROR(VLOOKUP(A33,اوراق!$A$9:$AE$48,25,0),0)</f>
        <v>7842</v>
      </c>
      <c r="L33" s="16"/>
      <c r="M33" s="16">
        <f>IFERROR(VLOOKUP(A33,اوراق!$A$9:$AE$48,31,0),0)</f>
        <v>5715781828</v>
      </c>
      <c r="N33" s="16"/>
      <c r="O33" s="236">
        <v>4855348410</v>
      </c>
      <c r="P33" s="16"/>
      <c r="Q33" s="16">
        <f t="shared" si="1"/>
        <v>860433418</v>
      </c>
      <c r="R33" s="200"/>
      <c r="S33" s="126"/>
      <c r="T33" s="200"/>
      <c r="U33" s="45"/>
      <c r="V33" s="45"/>
      <c r="W33" s="200"/>
      <c r="X33" s="200"/>
      <c r="Y33" s="200"/>
      <c r="Z33" s="200"/>
      <c r="AA33" s="45"/>
    </row>
    <row r="34" spans="1:28" s="149" customFormat="1" ht="21.75" customHeight="1">
      <c r="A34" s="228" t="s">
        <v>113</v>
      </c>
      <c r="C34" s="16">
        <f>IFERROR(VLOOKUP(A34,اوراق!$A$9:$AE$48,25,0),0)</f>
        <v>11067</v>
      </c>
      <c r="D34" s="16"/>
      <c r="E34" s="16">
        <f>IFERROR(VLOOKUP(A34,اوراق!$A$9:$AE$48,31,0),0)</f>
        <v>6917613017</v>
      </c>
      <c r="F34" s="16"/>
      <c r="G34" s="236">
        <v>6904867995</v>
      </c>
      <c r="H34" s="16"/>
      <c r="I34" s="16">
        <f t="shared" si="0"/>
        <v>12745022</v>
      </c>
      <c r="J34" s="16"/>
      <c r="K34" s="16">
        <f>IFERROR(VLOOKUP(A34,اوراق!$A$9:$AE$48,25,0),0)</f>
        <v>11067</v>
      </c>
      <c r="L34" s="16"/>
      <c r="M34" s="16">
        <f>IFERROR(VLOOKUP(A34,اوراق!$A$9:$AE$48,31,0),0)</f>
        <v>6917613017</v>
      </c>
      <c r="N34" s="16"/>
      <c r="O34" s="236">
        <v>6071202144</v>
      </c>
      <c r="P34" s="16"/>
      <c r="Q34" s="16">
        <f t="shared" si="1"/>
        <v>846410873</v>
      </c>
      <c r="R34" s="200"/>
      <c r="S34" s="126"/>
      <c r="T34" s="200"/>
      <c r="U34" s="45"/>
      <c r="V34" s="45"/>
      <c r="W34" s="200"/>
      <c r="X34" s="200"/>
      <c r="Y34" s="200"/>
      <c r="Z34" s="200"/>
      <c r="AA34" s="45"/>
    </row>
    <row r="35" spans="1:28" ht="23.25" thickBot="1">
      <c r="A35" s="229"/>
      <c r="B35" s="229"/>
      <c r="C35" s="229"/>
      <c r="D35" s="229"/>
      <c r="E35" s="73">
        <f>SUM(E7:E34)</f>
        <v>71402171125</v>
      </c>
      <c r="F35" s="16"/>
      <c r="G35" s="73">
        <f>SUM(G7:G34)</f>
        <v>71644350499</v>
      </c>
      <c r="H35" s="16"/>
      <c r="I35" s="73">
        <f>SUM(I7:I34)</f>
        <v>-242179374</v>
      </c>
      <c r="J35" s="31"/>
      <c r="K35" s="16"/>
      <c r="L35" s="31"/>
      <c r="M35" s="73">
        <f>SUM(M7:M34)</f>
        <v>71402171125</v>
      </c>
      <c r="N35" s="16"/>
      <c r="O35" s="73">
        <f>SUM(O7:O34)</f>
        <v>70127872023</v>
      </c>
      <c r="P35" s="16"/>
      <c r="Q35" s="73">
        <f>SUM(Q7:Q34)</f>
        <v>1274299102</v>
      </c>
      <c r="R35" s="223"/>
      <c r="S35" s="223"/>
      <c r="T35" s="223"/>
      <c r="AA35" s="17"/>
      <c r="AB35" s="149"/>
    </row>
    <row r="36" spans="1:28" ht="23.25" thickTop="1">
      <c r="A36" s="164"/>
      <c r="B36" s="164"/>
      <c r="C36" s="170"/>
      <c r="D36" s="164"/>
      <c r="E36" s="52"/>
      <c r="F36" s="31"/>
      <c r="G36" s="52"/>
      <c r="H36" s="31"/>
      <c r="I36" s="52"/>
      <c r="J36" s="31"/>
      <c r="K36" s="170"/>
      <c r="L36" s="31"/>
      <c r="M36" s="52"/>
      <c r="N36" s="31"/>
      <c r="O36" s="52"/>
      <c r="P36" s="31"/>
      <c r="Q36" s="52"/>
      <c r="R36" s="223"/>
      <c r="S36" s="223"/>
      <c r="T36" s="223"/>
      <c r="AA36" s="17"/>
      <c r="AB36" s="149"/>
    </row>
    <row r="37" spans="1:28" ht="22.5">
      <c r="A37" s="164"/>
      <c r="B37" s="164"/>
      <c r="C37" s="170"/>
      <c r="D37" s="164"/>
      <c r="E37" s="52"/>
      <c r="F37" s="31"/>
      <c r="G37" s="52"/>
      <c r="H37" s="31"/>
      <c r="I37" s="52"/>
      <c r="J37" s="31"/>
      <c r="K37" s="170"/>
      <c r="L37" s="31"/>
      <c r="M37" s="52"/>
      <c r="N37" s="31"/>
      <c r="O37" s="52"/>
      <c r="P37" s="31"/>
      <c r="Q37" s="52"/>
      <c r="R37" s="223"/>
      <c r="S37" s="223"/>
      <c r="T37" s="223"/>
      <c r="AA37" s="17"/>
      <c r="AB37" s="149"/>
    </row>
    <row r="38" spans="1:28" ht="7.5" customHeight="1">
      <c r="A38" s="164"/>
      <c r="B38" s="164"/>
      <c r="AA38" s="17"/>
      <c r="AB38" s="149"/>
    </row>
    <row r="39" spans="1:28" ht="24.75" customHeight="1">
      <c r="A39" s="341" t="s">
        <v>40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3"/>
      <c r="AB39" s="149"/>
    </row>
    <row r="40" spans="1:28">
      <c r="Q40" s="230"/>
    </row>
    <row r="41" spans="1:28" s="16" customFormat="1"/>
    <row r="42" spans="1:28" s="16" customFormat="1">
      <c r="I42" s="237"/>
      <c r="Q42" s="237"/>
    </row>
    <row r="43" spans="1:28" s="16" customFormat="1"/>
    <row r="44" spans="1:28" s="16" customFormat="1"/>
    <row r="45" spans="1:28" s="16" customFormat="1"/>
    <row r="46" spans="1:28" s="32" customFormat="1" ht="24">
      <c r="I46" s="16"/>
      <c r="Q46" s="16"/>
    </row>
    <row r="47" spans="1:28" s="32" customFormat="1" ht="24"/>
    <row r="48" spans="1:28" s="32" customFormat="1" ht="24"/>
    <row r="49" spans="1:17">
      <c r="A49" s="16"/>
      <c r="C49" s="223"/>
      <c r="D49" s="196"/>
      <c r="E49" s="196"/>
      <c r="F49" s="196"/>
      <c r="G49" s="196"/>
      <c r="H49" s="196"/>
      <c r="I49" s="223"/>
      <c r="J49" s="196"/>
      <c r="K49" s="223"/>
      <c r="L49" s="196"/>
      <c r="M49" s="225"/>
      <c r="N49" s="196"/>
      <c r="O49" s="196"/>
      <c r="P49" s="196"/>
      <c r="Q49" s="223"/>
    </row>
    <row r="50" spans="1:17" ht="24">
      <c r="A50" s="231"/>
      <c r="C50" s="16"/>
      <c r="D50" s="16"/>
      <c r="E50" s="232"/>
      <c r="F50" s="16"/>
      <c r="G50" s="233"/>
      <c r="H50" s="16"/>
      <c r="I50" s="16"/>
      <c r="J50" s="16"/>
      <c r="K50" s="16"/>
      <c r="L50" s="16"/>
      <c r="M50" s="34"/>
      <c r="N50" s="16"/>
      <c r="O50" s="16"/>
      <c r="P50" s="16"/>
      <c r="Q50" s="16"/>
    </row>
    <row r="51" spans="1:17" s="32" customFormat="1" ht="24">
      <c r="I51" s="26"/>
      <c r="J51" s="34"/>
      <c r="K51" s="34"/>
      <c r="L51" s="34"/>
      <c r="M51" s="34"/>
      <c r="N51" s="34"/>
      <c r="O51" s="34"/>
      <c r="P51" s="34"/>
      <c r="Q51" s="26"/>
    </row>
    <row r="52" spans="1:17" s="32" customFormat="1" ht="24">
      <c r="I52" s="16"/>
      <c r="Q52" s="16"/>
    </row>
    <row r="53" spans="1:17" s="32" customFormat="1" ht="24">
      <c r="I53" s="26"/>
      <c r="Q53" s="26"/>
    </row>
    <row r="54" spans="1:17" s="32" customFormat="1" ht="24"/>
    <row r="55" spans="1:17" s="32" customFormat="1" ht="24"/>
    <row r="56" spans="1:17" s="32" customFormat="1" ht="24"/>
    <row r="57" spans="1:17" s="32" customFormat="1" ht="24"/>
    <row r="58" spans="1:17" s="32" customFormat="1" ht="24"/>
    <row r="59" spans="1:17" s="32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39:Q39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60"/>
  <sheetViews>
    <sheetView rightToLeft="1" view="pageBreakPreview" zoomScale="50" zoomScaleNormal="100" zoomScaleSheetLayoutView="50" workbookViewId="0">
      <selection activeCell="C37" sqref="C37"/>
    </sheetView>
  </sheetViews>
  <sheetFormatPr defaultColWidth="9.140625" defaultRowHeight="30.75"/>
  <cols>
    <col min="1" max="1" width="55.42578125" style="139" bestFit="1" customWidth="1"/>
    <col min="2" max="2" width="1.85546875" style="139" customWidth="1"/>
    <col min="3" max="3" width="22.5703125" style="4" customWidth="1"/>
    <col min="4" max="4" width="1.140625" style="4" customWidth="1"/>
    <col min="5" max="5" width="32" style="4" customWidth="1"/>
    <col min="6" max="6" width="1.42578125" style="4" customWidth="1"/>
    <col min="7" max="7" width="32.140625" style="4" customWidth="1"/>
    <col min="8" max="8" width="1.5703125" style="4" customWidth="1"/>
    <col min="9" max="9" width="20.5703125" style="4" bestFit="1" customWidth="1"/>
    <col min="10" max="10" width="29.140625" style="4" bestFit="1" customWidth="1"/>
    <col min="11" max="11" width="1.42578125" style="4" customWidth="1"/>
    <col min="12" max="12" width="20.7109375" style="4" customWidth="1"/>
    <col min="13" max="13" width="29.140625" style="4" customWidth="1"/>
    <col min="14" max="14" width="1.140625" style="4" customWidth="1"/>
    <col min="15" max="15" width="22.5703125" style="4" bestFit="1" customWidth="1"/>
    <col min="16" max="16" width="1.42578125" style="4" customWidth="1"/>
    <col min="17" max="17" width="18.7109375" style="4" customWidth="1"/>
    <col min="18" max="18" width="1.5703125" style="4" customWidth="1"/>
    <col min="19" max="19" width="32" style="4" bestFit="1" customWidth="1"/>
    <col min="20" max="20" width="1.85546875" style="4" customWidth="1"/>
    <col min="21" max="21" width="37.42578125" style="4" bestFit="1" customWidth="1"/>
    <col min="22" max="22" width="1.5703125" style="139" customWidth="1"/>
    <col min="23" max="23" width="21.85546875" style="9" customWidth="1"/>
    <col min="24" max="24" width="21.140625" style="4" bestFit="1" customWidth="1"/>
    <col min="25" max="25" width="27.140625" style="4" bestFit="1" customWidth="1"/>
    <col min="26" max="26" width="19.42578125" style="139" bestFit="1" customWidth="1"/>
    <col min="27" max="27" width="19.42578125" style="5" bestFit="1" customWidth="1"/>
    <col min="28" max="28" width="14.85546875" style="5" bestFit="1" customWidth="1"/>
    <col min="29" max="29" width="17.140625" style="139" bestFit="1" customWidth="1"/>
    <col min="30" max="16384" width="9.140625" style="139"/>
  </cols>
  <sheetData>
    <row r="1" spans="1:33" ht="31.5">
      <c r="A1" s="258" t="s">
        <v>86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</row>
    <row r="2" spans="1:33" ht="31.5">
      <c r="A2" s="258" t="s">
        <v>46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</row>
    <row r="3" spans="1:33" ht="31.5">
      <c r="A3" s="258" t="s">
        <v>173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</row>
    <row r="4" spans="1:33" ht="31.5">
      <c r="A4" s="264" t="s">
        <v>22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</row>
    <row r="5" spans="1:33" ht="31.5">
      <c r="A5" s="264" t="s">
        <v>23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</row>
    <row r="7" spans="1:33" ht="36.75" customHeight="1" thickBot="1">
      <c r="A7" s="140"/>
      <c r="B7" s="141"/>
      <c r="C7" s="251" t="s">
        <v>162</v>
      </c>
      <c r="D7" s="251"/>
      <c r="E7" s="251"/>
      <c r="F7" s="251"/>
      <c r="G7" s="251"/>
      <c r="H7" s="6"/>
      <c r="I7" s="265" t="s">
        <v>7</v>
      </c>
      <c r="J7" s="265"/>
      <c r="K7" s="265"/>
      <c r="L7" s="265"/>
      <c r="M7" s="265"/>
      <c r="O7" s="252" t="s">
        <v>172</v>
      </c>
      <c r="P7" s="252"/>
      <c r="Q7" s="252"/>
      <c r="R7" s="252"/>
      <c r="S7" s="252"/>
      <c r="T7" s="252"/>
      <c r="U7" s="252"/>
      <c r="V7" s="252"/>
      <c r="W7" s="252"/>
    </row>
    <row r="8" spans="1:33" ht="29.25" customHeight="1">
      <c r="A8" s="259" t="s">
        <v>1</v>
      </c>
      <c r="B8" s="142"/>
      <c r="C8" s="262" t="s">
        <v>3</v>
      </c>
      <c r="D8" s="253"/>
      <c r="E8" s="262" t="s">
        <v>0</v>
      </c>
      <c r="F8" s="253"/>
      <c r="G8" s="253" t="s">
        <v>18</v>
      </c>
      <c r="H8" s="50"/>
      <c r="I8" s="261" t="s">
        <v>4</v>
      </c>
      <c r="J8" s="261"/>
      <c r="K8" s="7"/>
      <c r="L8" s="261" t="s">
        <v>5</v>
      </c>
      <c r="M8" s="261"/>
      <c r="O8" s="262" t="s">
        <v>3</v>
      </c>
      <c r="P8" s="254"/>
      <c r="Q8" s="253" t="s">
        <v>30</v>
      </c>
      <c r="R8" s="239"/>
      <c r="S8" s="262" t="s">
        <v>0</v>
      </c>
      <c r="T8" s="254"/>
      <c r="U8" s="253" t="s">
        <v>18</v>
      </c>
      <c r="V8" s="143"/>
      <c r="W8" s="256" t="s">
        <v>19</v>
      </c>
    </row>
    <row r="9" spans="1:33" ht="49.5" customHeight="1" thickBot="1">
      <c r="A9" s="260"/>
      <c r="B9" s="142"/>
      <c r="C9" s="263"/>
      <c r="D9" s="254"/>
      <c r="E9" s="263"/>
      <c r="F9" s="254"/>
      <c r="G9" s="255"/>
      <c r="H9" s="50"/>
      <c r="I9" s="112" t="s">
        <v>3</v>
      </c>
      <c r="J9" s="112" t="s">
        <v>0</v>
      </c>
      <c r="K9" s="7"/>
      <c r="L9" s="112" t="s">
        <v>3</v>
      </c>
      <c r="M9" s="112" t="s">
        <v>45</v>
      </c>
      <c r="O9" s="263"/>
      <c r="P9" s="254"/>
      <c r="Q9" s="255"/>
      <c r="R9" s="239"/>
      <c r="S9" s="263"/>
      <c r="T9" s="254"/>
      <c r="U9" s="255"/>
      <c r="V9" s="143"/>
      <c r="W9" s="257"/>
    </row>
    <row r="10" spans="1:33" ht="28.5" customHeight="1">
      <c r="A10" s="4" t="s">
        <v>166</v>
      </c>
      <c r="C10" s="344">
        <v>0</v>
      </c>
      <c r="E10" s="4">
        <v>0</v>
      </c>
      <c r="G10" s="344">
        <v>0</v>
      </c>
      <c r="I10" s="4">
        <v>30054</v>
      </c>
      <c r="J10" s="4">
        <v>1990067697</v>
      </c>
      <c r="K10" s="144"/>
      <c r="L10" s="4">
        <v>593</v>
      </c>
      <c r="M10" s="4">
        <v>38887277</v>
      </c>
      <c r="O10" s="4">
        <v>29461</v>
      </c>
      <c r="Q10" s="345">
        <v>63610</v>
      </c>
      <c r="S10" s="4">
        <v>1950801372</v>
      </c>
      <c r="U10" s="344">
        <v>1862863829</v>
      </c>
      <c r="V10" s="144"/>
      <c r="W10" s="8">
        <f>U10/درآمدها!$J$5</f>
        <v>2.4044892095845927E-2</v>
      </c>
      <c r="Z10" s="145"/>
      <c r="AC10" s="145"/>
      <c r="AD10" s="146"/>
      <c r="AE10" s="145"/>
      <c r="AF10" s="146"/>
      <c r="AG10" s="145"/>
    </row>
    <row r="11" spans="1:33" ht="28.5" customHeight="1">
      <c r="A11" s="4" t="s">
        <v>87</v>
      </c>
      <c r="C11" s="344">
        <v>158661</v>
      </c>
      <c r="E11" s="4">
        <v>1887101929</v>
      </c>
      <c r="G11" s="344">
        <v>1059858021</v>
      </c>
      <c r="I11" s="4">
        <v>0</v>
      </c>
      <c r="J11" s="4">
        <v>0</v>
      </c>
      <c r="K11" s="144"/>
      <c r="L11" s="4">
        <v>50029</v>
      </c>
      <c r="M11" s="4">
        <v>346981622</v>
      </c>
      <c r="O11" s="4">
        <v>108632</v>
      </c>
      <c r="Q11" s="345">
        <v>6760</v>
      </c>
      <c r="S11" s="4">
        <v>1292060788</v>
      </c>
      <c r="U11" s="344">
        <v>729982927</v>
      </c>
      <c r="V11" s="144"/>
      <c r="W11" s="8">
        <f>U11/درآمدها!$J$5</f>
        <v>9.4222457048548838E-3</v>
      </c>
      <c r="Z11" s="145"/>
      <c r="AC11" s="145"/>
      <c r="AD11" s="146"/>
      <c r="AE11" s="145"/>
      <c r="AF11" s="146"/>
      <c r="AG11" s="145"/>
    </row>
    <row r="12" spans="1:33" ht="28.5" customHeight="1">
      <c r="A12" s="4" t="s">
        <v>167</v>
      </c>
      <c r="C12" s="344">
        <v>0</v>
      </c>
      <c r="E12" s="4">
        <v>0</v>
      </c>
      <c r="G12" s="344">
        <v>0</v>
      </c>
      <c r="I12" s="4">
        <v>60416</v>
      </c>
      <c r="J12" s="4">
        <v>1234199119</v>
      </c>
      <c r="K12" s="144"/>
      <c r="L12" s="4">
        <v>1193</v>
      </c>
      <c r="M12" s="4">
        <v>24227894</v>
      </c>
      <c r="O12" s="4">
        <v>59223</v>
      </c>
      <c r="Q12" s="345">
        <v>19750</v>
      </c>
      <c r="S12" s="4">
        <v>1209828099</v>
      </c>
      <c r="U12" s="344">
        <v>1162694811</v>
      </c>
      <c r="V12" s="144"/>
      <c r="W12" s="8">
        <f>U12/درآمدها!$J$5</f>
        <v>1.5007469056878109E-2</v>
      </c>
      <c r="Z12" s="145"/>
      <c r="AC12" s="145"/>
      <c r="AD12" s="146"/>
      <c r="AE12" s="145"/>
      <c r="AF12" s="146"/>
      <c r="AG12" s="145"/>
    </row>
    <row r="13" spans="1:33" ht="28.5" customHeight="1">
      <c r="A13" s="4" t="s">
        <v>125</v>
      </c>
      <c r="C13" s="344">
        <v>200000</v>
      </c>
      <c r="E13" s="4">
        <v>1691534520</v>
      </c>
      <c r="G13" s="344">
        <v>2055695400</v>
      </c>
      <c r="I13" s="4">
        <v>0</v>
      </c>
      <c r="J13" s="4">
        <v>0</v>
      </c>
      <c r="K13" s="144"/>
      <c r="L13" s="4">
        <v>0</v>
      </c>
      <c r="M13" s="4">
        <v>0</v>
      </c>
      <c r="O13" s="4">
        <v>200000</v>
      </c>
      <c r="Q13" s="345">
        <v>8390</v>
      </c>
      <c r="S13" s="4">
        <v>1691534520</v>
      </c>
      <c r="U13" s="344">
        <v>1668015900</v>
      </c>
      <c r="V13" s="144"/>
      <c r="W13" s="8">
        <f>U13/درآمدها!$J$5</f>
        <v>2.1529894834656393E-2</v>
      </c>
      <c r="Z13" s="145"/>
      <c r="AC13" s="145"/>
      <c r="AD13" s="146"/>
      <c r="AE13" s="145"/>
      <c r="AF13" s="146"/>
      <c r="AG13" s="145"/>
    </row>
    <row r="14" spans="1:33" ht="28.5" customHeight="1">
      <c r="A14" s="4" t="s">
        <v>102</v>
      </c>
      <c r="C14" s="344">
        <v>64355</v>
      </c>
      <c r="E14" s="4">
        <v>990259829</v>
      </c>
      <c r="G14" s="344">
        <v>712649061</v>
      </c>
      <c r="I14" s="4">
        <v>0</v>
      </c>
      <c r="J14" s="4">
        <v>0</v>
      </c>
      <c r="K14" s="144"/>
      <c r="L14" s="4">
        <v>18634</v>
      </c>
      <c r="M14" s="4">
        <v>203916433</v>
      </c>
      <c r="O14" s="4">
        <v>45721</v>
      </c>
      <c r="Q14" s="345">
        <v>10610</v>
      </c>
      <c r="S14" s="4">
        <v>703529946</v>
      </c>
      <c r="U14" s="344">
        <v>482213471</v>
      </c>
      <c r="V14" s="144"/>
      <c r="W14" s="8">
        <f>U14/درآمدها!$J$5</f>
        <v>6.2241644809768485E-3</v>
      </c>
      <c r="Z14" s="145"/>
      <c r="AC14" s="145"/>
      <c r="AD14" s="146"/>
      <c r="AE14" s="145"/>
      <c r="AF14" s="146"/>
      <c r="AG14" s="145"/>
    </row>
    <row r="15" spans="1:33" ht="28.5" customHeight="1">
      <c r="A15" s="4" t="s">
        <v>89</v>
      </c>
      <c r="C15" s="344">
        <v>377734</v>
      </c>
      <c r="E15" s="4">
        <v>7207782435</v>
      </c>
      <c r="G15" s="344">
        <v>6818834530</v>
      </c>
      <c r="I15" s="4">
        <v>0</v>
      </c>
      <c r="J15" s="4">
        <v>0</v>
      </c>
      <c r="K15" s="144"/>
      <c r="L15" s="4">
        <v>109107</v>
      </c>
      <c r="M15" s="4">
        <v>2065860908</v>
      </c>
      <c r="O15" s="4">
        <v>268627</v>
      </c>
      <c r="Q15" s="345">
        <v>19760</v>
      </c>
      <c r="S15" s="4">
        <v>5125842450</v>
      </c>
      <c r="U15" s="344">
        <v>5276486509</v>
      </c>
      <c r="V15" s="144"/>
      <c r="W15" s="8">
        <f>U15/درآمدها!$J$5</f>
        <v>6.8106185100066038E-2</v>
      </c>
      <c r="Z15" s="145"/>
      <c r="AC15" s="145"/>
      <c r="AD15" s="146"/>
      <c r="AE15" s="145"/>
      <c r="AF15" s="146"/>
      <c r="AG15" s="145"/>
    </row>
    <row r="16" spans="1:33" ht="28.5" customHeight="1">
      <c r="A16" s="4" t="s">
        <v>139</v>
      </c>
      <c r="C16" s="344">
        <v>190118</v>
      </c>
      <c r="E16" s="4">
        <v>3366295115</v>
      </c>
      <c r="G16" s="344">
        <v>3218445171</v>
      </c>
      <c r="I16" s="4">
        <v>0</v>
      </c>
      <c r="J16" s="4">
        <v>0</v>
      </c>
      <c r="K16" s="144"/>
      <c r="L16" s="4">
        <v>3756</v>
      </c>
      <c r="M16" s="4">
        <v>60074484</v>
      </c>
      <c r="O16" s="4">
        <v>186362</v>
      </c>
      <c r="Q16" s="345">
        <v>15020</v>
      </c>
      <c r="S16" s="4">
        <v>3299790079</v>
      </c>
      <c r="U16" s="344">
        <v>2782502258</v>
      </c>
      <c r="V16" s="144"/>
      <c r="W16" s="8">
        <f>U16/درآمدها!$J$5</f>
        <v>3.5915113873874915E-2</v>
      </c>
      <c r="Z16" s="145"/>
      <c r="AC16" s="145"/>
      <c r="AD16" s="146"/>
      <c r="AE16" s="145"/>
      <c r="AF16" s="146"/>
      <c r="AG16" s="145"/>
    </row>
    <row r="17" spans="1:33" ht="28.5" customHeight="1">
      <c r="A17" s="4" t="s">
        <v>123</v>
      </c>
      <c r="C17" s="344">
        <v>2076998</v>
      </c>
      <c r="E17" s="4">
        <v>2498067889</v>
      </c>
      <c r="G17" s="344">
        <v>2378465123</v>
      </c>
      <c r="I17" s="4">
        <v>0</v>
      </c>
      <c r="J17" s="4">
        <v>0</v>
      </c>
      <c r="K17" s="144"/>
      <c r="L17" s="4">
        <v>626276</v>
      </c>
      <c r="M17" s="4">
        <v>688655407</v>
      </c>
      <c r="O17" s="4">
        <v>1450722</v>
      </c>
      <c r="Q17" s="345">
        <v>1091</v>
      </c>
      <c r="S17" s="4">
        <v>1744826930</v>
      </c>
      <c r="U17" s="344">
        <v>1573320415</v>
      </c>
      <c r="V17" s="144"/>
      <c r="W17" s="8">
        <f>U17/درآمدها!$J$5</f>
        <v>2.0307614019847143E-2</v>
      </c>
      <c r="Z17" s="145"/>
      <c r="AC17" s="145"/>
      <c r="AD17" s="146"/>
      <c r="AE17" s="145"/>
      <c r="AF17" s="146"/>
      <c r="AG17" s="145"/>
    </row>
    <row r="18" spans="1:33" ht="28.5" customHeight="1">
      <c r="A18" s="4" t="s">
        <v>120</v>
      </c>
      <c r="C18" s="344">
        <v>188254</v>
      </c>
      <c r="E18" s="4">
        <v>2447780978</v>
      </c>
      <c r="G18" s="344">
        <v>2108998930</v>
      </c>
      <c r="I18" s="4">
        <v>0</v>
      </c>
      <c r="J18" s="4">
        <v>0</v>
      </c>
      <c r="K18" s="144"/>
      <c r="L18" s="4">
        <v>59360</v>
      </c>
      <c r="M18" s="4">
        <v>658666387</v>
      </c>
      <c r="O18" s="4">
        <v>128894</v>
      </c>
      <c r="Q18" s="345">
        <v>10510</v>
      </c>
      <c r="S18" s="4">
        <v>1675949947</v>
      </c>
      <c r="U18" s="344">
        <v>1346615621</v>
      </c>
      <c r="V18" s="144"/>
      <c r="W18" s="8">
        <f>U18/درآمدها!$J$5</f>
        <v>1.7381424663179476E-2</v>
      </c>
      <c r="Z18" s="145"/>
      <c r="AC18" s="147"/>
      <c r="AD18" s="146"/>
      <c r="AE18" s="145"/>
      <c r="AF18" s="146"/>
      <c r="AG18" s="145"/>
    </row>
    <row r="19" spans="1:33" ht="28.5" customHeight="1">
      <c r="A19" s="4" t="s">
        <v>92</v>
      </c>
      <c r="C19" s="344">
        <v>552673</v>
      </c>
      <c r="E19" s="4">
        <v>5891860249</v>
      </c>
      <c r="G19" s="344">
        <v>4301681389</v>
      </c>
      <c r="I19" s="4">
        <v>0</v>
      </c>
      <c r="J19" s="4">
        <v>0</v>
      </c>
      <c r="K19" s="144"/>
      <c r="L19" s="4">
        <v>174273</v>
      </c>
      <c r="M19" s="4">
        <v>1153044238</v>
      </c>
      <c r="O19" s="4">
        <v>378400</v>
      </c>
      <c r="Q19" s="345">
        <v>7040</v>
      </c>
      <c r="S19" s="4">
        <v>4033994637</v>
      </c>
      <c r="U19" s="344">
        <v>2648085583</v>
      </c>
      <c r="V19" s="144"/>
      <c r="W19" s="8">
        <f>U19/درآمدها!$J$5</f>
        <v>3.4180132284806014E-2</v>
      </c>
      <c r="Z19" s="145"/>
      <c r="AC19" s="145"/>
      <c r="AD19" s="146"/>
      <c r="AE19" s="145"/>
      <c r="AF19" s="146"/>
      <c r="AG19" s="145"/>
    </row>
    <row r="20" spans="1:33" ht="28.5" customHeight="1">
      <c r="A20" s="4" t="s">
        <v>124</v>
      </c>
      <c r="C20" s="344">
        <v>572500</v>
      </c>
      <c r="E20" s="4">
        <v>7563861753</v>
      </c>
      <c r="G20" s="344">
        <v>7762437046</v>
      </c>
      <c r="I20" s="4">
        <v>0</v>
      </c>
      <c r="J20" s="4">
        <v>0</v>
      </c>
      <c r="K20" s="144"/>
      <c r="L20" s="4">
        <v>0</v>
      </c>
      <c r="M20" s="4">
        <v>0</v>
      </c>
      <c r="O20" s="4">
        <v>572500</v>
      </c>
      <c r="Q20" s="345">
        <v>14820</v>
      </c>
      <c r="S20" s="4">
        <v>7563861753</v>
      </c>
      <c r="U20" s="344">
        <v>8433967525</v>
      </c>
      <c r="V20" s="144"/>
      <c r="W20" s="8">
        <f>U20/درآمدها!$J$5</f>
        <v>0.10886133270801392</v>
      </c>
      <c r="Z20" s="145"/>
      <c r="AC20" s="145"/>
      <c r="AD20" s="146"/>
      <c r="AE20" s="145"/>
      <c r="AF20" s="146"/>
      <c r="AG20" s="145"/>
    </row>
    <row r="21" spans="1:33" ht="28.5" customHeight="1">
      <c r="A21" s="4" t="s">
        <v>90</v>
      </c>
      <c r="C21" s="344">
        <v>208254</v>
      </c>
      <c r="E21" s="4">
        <v>3820956787</v>
      </c>
      <c r="G21" s="344">
        <v>3554445642</v>
      </c>
      <c r="I21" s="4">
        <v>0</v>
      </c>
      <c r="J21" s="4">
        <v>0</v>
      </c>
      <c r="K21" s="144"/>
      <c r="L21" s="4">
        <v>65667</v>
      </c>
      <c r="M21" s="4">
        <v>1074315455</v>
      </c>
      <c r="O21" s="4">
        <v>142587</v>
      </c>
      <c r="Q21" s="345">
        <v>16790</v>
      </c>
      <c r="S21" s="4">
        <v>2616126295</v>
      </c>
      <c r="U21" s="344">
        <v>2379791219</v>
      </c>
      <c r="V21" s="144"/>
      <c r="W21" s="8">
        <f>U21/درآمدها!$J$5</f>
        <v>3.0717126061873115E-2</v>
      </c>
      <c r="Z21" s="145"/>
      <c r="AC21" s="145"/>
      <c r="AD21" s="146"/>
      <c r="AE21" s="145"/>
      <c r="AF21" s="146"/>
      <c r="AG21" s="145"/>
    </row>
    <row r="22" spans="1:33" ht="28.5" customHeight="1">
      <c r="A22" s="4" t="s">
        <v>168</v>
      </c>
      <c r="C22" s="344">
        <v>0</v>
      </c>
      <c r="E22" s="4">
        <v>0</v>
      </c>
      <c r="G22" s="344">
        <v>0</v>
      </c>
      <c r="I22" s="4">
        <v>38005</v>
      </c>
      <c r="J22" s="4">
        <v>1994451277</v>
      </c>
      <c r="K22" s="144"/>
      <c r="L22" s="4">
        <v>750</v>
      </c>
      <c r="M22" s="4">
        <v>35651607</v>
      </c>
      <c r="O22" s="4">
        <v>37255</v>
      </c>
      <c r="Q22" s="345">
        <v>45480</v>
      </c>
      <c r="S22" s="4">
        <v>1955092286</v>
      </c>
      <c r="U22" s="344">
        <v>1684275977</v>
      </c>
      <c r="V22" s="144"/>
      <c r="W22" s="8">
        <f>U22/درآمدها!$J$5</f>
        <v>2.1739771579724239E-2</v>
      </c>
      <c r="Z22" s="145"/>
      <c r="AC22" s="145"/>
      <c r="AD22" s="146"/>
      <c r="AE22" s="145"/>
      <c r="AF22" s="146"/>
      <c r="AG22" s="145"/>
    </row>
    <row r="23" spans="1:33" ht="28.5" customHeight="1">
      <c r="A23" s="4" t="s">
        <v>163</v>
      </c>
      <c r="C23" s="344">
        <v>277929</v>
      </c>
      <c r="E23" s="4">
        <v>1070018671</v>
      </c>
      <c r="G23" s="344">
        <v>1132176275</v>
      </c>
      <c r="I23" s="4">
        <v>0</v>
      </c>
      <c r="J23" s="4">
        <v>0</v>
      </c>
      <c r="K23" s="144"/>
      <c r="L23" s="4">
        <v>5491</v>
      </c>
      <c r="M23" s="4">
        <v>22178266</v>
      </c>
      <c r="O23" s="4">
        <v>272438</v>
      </c>
      <c r="Q23" s="345">
        <v>4031</v>
      </c>
      <c r="S23" s="4">
        <v>1048878479</v>
      </c>
      <c r="U23" s="344">
        <v>1091663307</v>
      </c>
      <c r="V23" s="144"/>
      <c r="W23" s="8">
        <f>U23/درآمدها!$J$5</f>
        <v>1.4090630787490224E-2</v>
      </c>
      <c r="Z23" s="145"/>
      <c r="AC23" s="145"/>
      <c r="AD23" s="146"/>
      <c r="AE23" s="145"/>
      <c r="AF23" s="146"/>
      <c r="AG23" s="145"/>
    </row>
    <row r="24" spans="1:33" ht="28.5" customHeight="1">
      <c r="A24" s="4" t="s">
        <v>122</v>
      </c>
      <c r="C24" s="344">
        <v>64886</v>
      </c>
      <c r="E24" s="4">
        <v>1121315880</v>
      </c>
      <c r="G24" s="344">
        <v>1517683315</v>
      </c>
      <c r="I24" s="4">
        <v>0</v>
      </c>
      <c r="J24" s="4">
        <v>0</v>
      </c>
      <c r="K24" s="144"/>
      <c r="L24" s="4">
        <v>20459</v>
      </c>
      <c r="M24" s="4">
        <v>475724203</v>
      </c>
      <c r="O24" s="4">
        <v>44427</v>
      </c>
      <c r="Q24" s="345">
        <v>23780</v>
      </c>
      <c r="S24" s="4">
        <v>767757307</v>
      </c>
      <c r="U24" s="344">
        <v>1050188042</v>
      </c>
      <c r="V24" s="144"/>
      <c r="W24" s="8">
        <f>U24/درآمدها!$J$5</f>
        <v>1.3555289311614902E-2</v>
      </c>
      <c r="Z24" s="145"/>
      <c r="AC24" s="145"/>
      <c r="AD24" s="146"/>
      <c r="AE24" s="145"/>
      <c r="AF24" s="146"/>
      <c r="AG24" s="145"/>
    </row>
    <row r="25" spans="1:33" ht="28.5" customHeight="1">
      <c r="A25" s="4" t="s">
        <v>93</v>
      </c>
      <c r="C25" s="344">
        <v>1280694</v>
      </c>
      <c r="E25" s="4">
        <v>9127816062</v>
      </c>
      <c r="G25" s="344">
        <v>7651173966</v>
      </c>
      <c r="I25" s="4">
        <v>0</v>
      </c>
      <c r="J25" s="4">
        <v>0</v>
      </c>
      <c r="K25" s="144"/>
      <c r="L25" s="4">
        <v>842266</v>
      </c>
      <c r="M25" s="4">
        <v>5275046154</v>
      </c>
      <c r="O25" s="4">
        <v>438428</v>
      </c>
      <c r="Q25" s="345">
        <v>6210</v>
      </c>
      <c r="S25" s="4">
        <v>3124782454</v>
      </c>
      <c r="U25" s="344">
        <v>2706438188</v>
      </c>
      <c r="V25" s="144"/>
      <c r="W25" s="8">
        <f>U25/درآمدها!$J$5</f>
        <v>3.4933317820374496E-2</v>
      </c>
      <c r="Z25" s="145"/>
      <c r="AC25" s="145"/>
      <c r="AD25" s="146"/>
      <c r="AE25" s="145"/>
      <c r="AF25" s="146"/>
      <c r="AG25" s="145"/>
    </row>
    <row r="26" spans="1:33" ht="28.5" customHeight="1">
      <c r="A26" s="4" t="s">
        <v>110</v>
      </c>
      <c r="C26" s="344">
        <v>1610871</v>
      </c>
      <c r="E26" s="4">
        <v>5349277874</v>
      </c>
      <c r="G26" s="344">
        <v>5112907215</v>
      </c>
      <c r="I26" s="4">
        <v>0</v>
      </c>
      <c r="J26" s="4">
        <v>0</v>
      </c>
      <c r="K26" s="144"/>
      <c r="L26" s="4">
        <v>507955</v>
      </c>
      <c r="M26" s="4">
        <v>1379921452</v>
      </c>
      <c r="O26" s="4">
        <v>1102916</v>
      </c>
      <c r="Q26" s="345">
        <v>2630</v>
      </c>
      <c r="S26" s="4">
        <v>3662493244</v>
      </c>
      <c r="U26" s="344">
        <v>2883410101</v>
      </c>
      <c r="V26" s="144"/>
      <c r="W26" s="8">
        <f>U26/درآمدها!$J$5</f>
        <v>3.7217580623611544E-2</v>
      </c>
      <c r="Z26" s="145"/>
      <c r="AC26" s="145"/>
      <c r="AD26" s="146"/>
      <c r="AE26" s="145"/>
      <c r="AF26" s="146"/>
      <c r="AG26" s="145"/>
    </row>
    <row r="27" spans="1:33" ht="28.5" customHeight="1">
      <c r="A27" s="4" t="s">
        <v>169</v>
      </c>
      <c r="C27" s="344">
        <v>0</v>
      </c>
      <c r="E27" s="4">
        <v>0</v>
      </c>
      <c r="G27" s="344">
        <v>0</v>
      </c>
      <c r="I27" s="4">
        <v>78921</v>
      </c>
      <c r="J27" s="4">
        <v>1994397110</v>
      </c>
      <c r="K27" s="144"/>
      <c r="L27" s="4">
        <v>1559</v>
      </c>
      <c r="M27" s="4">
        <v>39813923</v>
      </c>
      <c r="O27" s="4">
        <v>77362</v>
      </c>
      <c r="Q27" s="345">
        <v>24850</v>
      </c>
      <c r="S27" s="4">
        <v>1954999927</v>
      </c>
      <c r="U27" s="344">
        <v>1911007152</v>
      </c>
      <c r="V27" s="144"/>
      <c r="W27" s="8">
        <f>U27/درآمدها!$J$5</f>
        <v>2.4666301448826852E-2</v>
      </c>
      <c r="Z27" s="145"/>
      <c r="AC27" s="145"/>
      <c r="AD27" s="146"/>
      <c r="AE27" s="145"/>
      <c r="AF27" s="146"/>
      <c r="AG27" s="145"/>
    </row>
    <row r="28" spans="1:33" ht="28.5" customHeight="1">
      <c r="A28" s="4" t="s">
        <v>109</v>
      </c>
      <c r="C28" s="344">
        <v>337658</v>
      </c>
      <c r="E28" s="4">
        <v>2334382483</v>
      </c>
      <c r="G28" s="344">
        <v>2178361589</v>
      </c>
      <c r="I28" s="4">
        <v>47170</v>
      </c>
      <c r="J28" s="4">
        <v>0</v>
      </c>
      <c r="K28" s="144"/>
      <c r="L28" s="4">
        <v>92939</v>
      </c>
      <c r="M28" s="4">
        <v>586651189</v>
      </c>
      <c r="O28" s="4">
        <v>291889</v>
      </c>
      <c r="Q28" s="345">
        <v>6180</v>
      </c>
      <c r="S28" s="4">
        <v>2017960684</v>
      </c>
      <c r="U28" s="344">
        <v>1793140972</v>
      </c>
      <c r="V28" s="144"/>
      <c r="W28" s="8">
        <f>U28/درآمدها!$J$5</f>
        <v>2.31449451716099E-2</v>
      </c>
      <c r="Z28" s="145"/>
      <c r="AC28" s="145"/>
      <c r="AD28" s="146"/>
      <c r="AE28" s="145"/>
      <c r="AF28" s="146"/>
      <c r="AG28" s="145"/>
    </row>
    <row r="29" spans="1:33" ht="28.5" customHeight="1">
      <c r="A29" s="4" t="s">
        <v>94</v>
      </c>
      <c r="C29" s="344">
        <v>956931</v>
      </c>
      <c r="E29" s="4">
        <v>2249810209</v>
      </c>
      <c r="G29" s="344">
        <v>2477021830</v>
      </c>
      <c r="I29" s="4">
        <v>0</v>
      </c>
      <c r="J29" s="4">
        <v>0</v>
      </c>
      <c r="K29" s="144"/>
      <c r="L29" s="4">
        <v>179737</v>
      </c>
      <c r="M29" s="4">
        <v>461390209</v>
      </c>
      <c r="O29" s="4">
        <v>777194</v>
      </c>
      <c r="Q29" s="345">
        <v>2672</v>
      </c>
      <c r="S29" s="4">
        <v>1827236233</v>
      </c>
      <c r="U29" s="344">
        <v>2064306232</v>
      </c>
      <c r="V29" s="144"/>
      <c r="W29" s="8">
        <f>U29/درآمدها!$J$5</f>
        <v>2.6645007449560762E-2</v>
      </c>
      <c r="Z29" s="145"/>
      <c r="AC29" s="145"/>
      <c r="AD29" s="146"/>
      <c r="AE29" s="145"/>
      <c r="AF29" s="146"/>
      <c r="AG29" s="145"/>
    </row>
    <row r="30" spans="1:33" ht="28.5" customHeight="1">
      <c r="A30" s="4" t="s">
        <v>104</v>
      </c>
      <c r="C30" s="344">
        <v>36974</v>
      </c>
      <c r="E30" s="4">
        <v>945143090</v>
      </c>
      <c r="G30" s="344">
        <v>982434549</v>
      </c>
      <c r="I30" s="4">
        <v>0</v>
      </c>
      <c r="J30" s="4">
        <v>0</v>
      </c>
      <c r="K30" s="144"/>
      <c r="L30" s="4">
        <v>13299</v>
      </c>
      <c r="M30" s="4">
        <v>351073285</v>
      </c>
      <c r="O30" s="4">
        <v>23675</v>
      </c>
      <c r="Q30" s="345">
        <v>26180</v>
      </c>
      <c r="S30" s="4">
        <v>605189124</v>
      </c>
      <c r="U30" s="344">
        <v>616123626</v>
      </c>
      <c r="V30" s="144"/>
      <c r="W30" s="8">
        <f>U30/درآمدها!$J$5</f>
        <v>7.9526081693388935E-3</v>
      </c>
      <c r="Z30" s="145"/>
      <c r="AC30" s="145"/>
      <c r="AD30" s="146"/>
      <c r="AE30" s="145"/>
      <c r="AF30" s="146"/>
      <c r="AG30" s="145"/>
    </row>
    <row r="31" spans="1:33" ht="28.5" customHeight="1">
      <c r="A31" s="4" t="s">
        <v>98</v>
      </c>
      <c r="C31" s="344">
        <v>377</v>
      </c>
      <c r="E31" s="4">
        <v>12245943</v>
      </c>
      <c r="G31" s="344">
        <v>17055188</v>
      </c>
      <c r="I31" s="4">
        <v>0</v>
      </c>
      <c r="J31" s="4">
        <v>0</v>
      </c>
      <c r="K31" s="144"/>
      <c r="L31" s="4">
        <v>0</v>
      </c>
      <c r="M31" s="4">
        <v>0</v>
      </c>
      <c r="O31" s="4">
        <v>377</v>
      </c>
      <c r="Q31" s="345">
        <v>42760</v>
      </c>
      <c r="S31" s="4">
        <v>12245943</v>
      </c>
      <c r="U31" s="344">
        <v>16024607</v>
      </c>
      <c r="V31" s="144"/>
      <c r="W31" s="8">
        <f>U31/درآمدها!$J$5</f>
        <v>2.0683741892190517E-4</v>
      </c>
      <c r="Z31" s="145"/>
      <c r="AC31" s="145"/>
      <c r="AD31" s="146"/>
      <c r="AE31" s="145"/>
      <c r="AF31" s="146"/>
      <c r="AG31" s="145"/>
    </row>
    <row r="32" spans="1:33" ht="28.5" customHeight="1">
      <c r="A32" s="4" t="s">
        <v>164</v>
      </c>
      <c r="C32" s="344">
        <v>57688</v>
      </c>
      <c r="E32" s="4">
        <v>1483685863</v>
      </c>
      <c r="G32" s="344">
        <v>1520782943</v>
      </c>
      <c r="I32" s="4">
        <v>0</v>
      </c>
      <c r="J32" s="4">
        <v>0</v>
      </c>
      <c r="K32" s="144"/>
      <c r="L32" s="4">
        <v>1139</v>
      </c>
      <c r="M32" s="4">
        <v>27240414</v>
      </c>
      <c r="O32" s="4">
        <v>56549</v>
      </c>
      <c r="Q32" s="345">
        <v>23030</v>
      </c>
      <c r="S32" s="4">
        <v>1454391760</v>
      </c>
      <c r="U32" s="344">
        <v>1294574650</v>
      </c>
      <c r="V32" s="144"/>
      <c r="W32" s="8">
        <f>U32/درآمدها!$J$5</f>
        <v>1.6709706466294539E-2</v>
      </c>
      <c r="Z32" s="145"/>
      <c r="AC32" s="145"/>
      <c r="AD32" s="146"/>
      <c r="AE32" s="145"/>
      <c r="AF32" s="146"/>
      <c r="AG32" s="145"/>
    </row>
    <row r="33" spans="1:33" ht="28.5" customHeight="1">
      <c r="A33" s="4" t="s">
        <v>101</v>
      </c>
      <c r="C33" s="344">
        <v>40877</v>
      </c>
      <c r="E33" s="4">
        <v>961580718</v>
      </c>
      <c r="G33" s="344">
        <v>1156031097</v>
      </c>
      <c r="I33" s="4">
        <v>0</v>
      </c>
      <c r="J33" s="4">
        <v>0</v>
      </c>
      <c r="K33" s="144"/>
      <c r="L33" s="4">
        <v>12889</v>
      </c>
      <c r="M33" s="4">
        <v>383195211</v>
      </c>
      <c r="O33" s="4">
        <v>27988</v>
      </c>
      <c r="Q33" s="345">
        <v>28950</v>
      </c>
      <c r="S33" s="4">
        <v>658382982</v>
      </c>
      <c r="U33" s="344">
        <v>805431600</v>
      </c>
      <c r="V33" s="144"/>
      <c r="W33" s="8">
        <f>U33/درآمدها!$J$5</f>
        <v>1.0396098529102171E-2</v>
      </c>
      <c r="Z33" s="145"/>
      <c r="AC33" s="145"/>
      <c r="AD33" s="146"/>
      <c r="AE33" s="145"/>
      <c r="AF33" s="146"/>
      <c r="AG33" s="145"/>
    </row>
    <row r="34" spans="1:33" ht="28.5" customHeight="1">
      <c r="A34" s="4" t="s">
        <v>161</v>
      </c>
      <c r="C34" s="344">
        <v>67531</v>
      </c>
      <c r="E34" s="4">
        <v>399341348</v>
      </c>
      <c r="G34" s="344">
        <v>367482637</v>
      </c>
      <c r="I34" s="4">
        <v>0</v>
      </c>
      <c r="J34" s="4">
        <v>0</v>
      </c>
      <c r="K34" s="144"/>
      <c r="L34" s="4">
        <v>67531</v>
      </c>
      <c r="M34" s="4">
        <v>96404345</v>
      </c>
      <c r="O34" s="4">
        <v>0</v>
      </c>
      <c r="Q34" s="345">
        <v>0</v>
      </c>
      <c r="S34" s="4">
        <v>0</v>
      </c>
      <c r="U34" s="344">
        <v>0</v>
      </c>
      <c r="V34" s="144"/>
      <c r="W34" s="8">
        <f>U34/درآمدها!$J$5</f>
        <v>0</v>
      </c>
      <c r="Z34" s="4"/>
      <c r="AA34" s="145"/>
      <c r="AC34" s="145"/>
      <c r="AD34" s="146"/>
      <c r="AE34" s="145"/>
      <c r="AF34" s="146"/>
      <c r="AG34" s="145"/>
    </row>
    <row r="35" spans="1:33" ht="28.5" customHeight="1" thickBot="1">
      <c r="A35" s="4" t="s">
        <v>2</v>
      </c>
      <c r="C35" s="344"/>
      <c r="E35" s="346">
        <f>SUM(E10:E34)</f>
        <v>62420119625</v>
      </c>
      <c r="G35" s="347">
        <f>SUM(G10:G34)</f>
        <v>58084620917</v>
      </c>
      <c r="J35" s="346">
        <f>SUM(J10:J34)</f>
        <v>7213115203</v>
      </c>
      <c r="K35" s="144"/>
      <c r="M35" s="346">
        <f>SUM(M10:M34)</f>
        <v>15448920363</v>
      </c>
      <c r="S35" s="346">
        <f>SUM(S10:S34)</f>
        <v>51997557239</v>
      </c>
      <c r="U35" s="346">
        <f>SUM(U10:U34)</f>
        <v>48263124522</v>
      </c>
      <c r="V35" s="144"/>
      <c r="W35" s="53">
        <f>SUM(W10:W34)</f>
        <v>0.62295568966134329</v>
      </c>
      <c r="Z35" s="145"/>
      <c r="AC35" s="145"/>
      <c r="AD35" s="146"/>
      <c r="AE35" s="145"/>
      <c r="AF35" s="146"/>
      <c r="AG35" s="145"/>
    </row>
    <row r="36" spans="1:33" ht="31.5" thickTop="1">
      <c r="A36" s="4"/>
      <c r="Z36" s="145"/>
    </row>
    <row r="37" spans="1:33" s="148" customFormat="1" ht="29.25" customHeight="1"/>
    <row r="38" spans="1:33" s="148" customFormat="1" ht="32.25" customHeight="1"/>
    <row r="39" spans="1:33" s="148" customFormat="1" ht="32.25" customHeight="1"/>
    <row r="40" spans="1:33" s="148" customFormat="1" ht="32.25" customHeight="1"/>
    <row r="41" spans="1:33" s="148" customFormat="1" ht="32.25" customHeight="1"/>
    <row r="42" spans="1:33" s="148" customFormat="1" ht="32.25" customHeight="1"/>
    <row r="43" spans="1:33" s="148" customFormat="1" ht="32.25" customHeight="1"/>
    <row r="44" spans="1:33" s="148" customFormat="1" ht="32.25" customHeight="1"/>
    <row r="45" spans="1:33" ht="32.25" customHeight="1">
      <c r="B45" s="4"/>
    </row>
    <row r="46" spans="1:33" ht="32.25" customHeight="1">
      <c r="B46" s="4"/>
    </row>
    <row r="47" spans="1:33" ht="32.25" customHeight="1"/>
    <row r="48" spans="1:33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K24"/>
  <sheetViews>
    <sheetView rightToLeft="1" view="pageBreakPreview" zoomScale="55" zoomScaleNormal="100" zoomScaleSheetLayoutView="55" workbookViewId="0">
      <selection activeCell="I19" sqref="I19"/>
    </sheetView>
  </sheetViews>
  <sheetFormatPr defaultColWidth="9.140625" defaultRowHeight="27.75"/>
  <cols>
    <col min="1" max="1" width="45.140625" style="150" bestFit="1" customWidth="1"/>
    <col min="2" max="2" width="0.5703125" style="150" customWidth="1"/>
    <col min="3" max="3" width="24.28515625" style="150" bestFit="1" customWidth="1"/>
    <col min="4" max="4" width="0.5703125" style="150" customWidth="1"/>
    <col min="5" max="5" width="37.42578125" style="150" bestFit="1" customWidth="1"/>
    <col min="6" max="6" width="0.5703125" style="150" customWidth="1"/>
    <col min="7" max="7" width="20.28515625" style="150" bestFit="1" customWidth="1"/>
    <col min="8" max="8" width="0.5703125" style="150" customWidth="1"/>
    <col min="9" max="9" width="16.7109375" style="150" bestFit="1" customWidth="1"/>
    <col min="10" max="10" width="0.42578125" style="150" customWidth="1"/>
    <col min="11" max="11" width="17.28515625" style="150" bestFit="1" customWidth="1"/>
    <col min="12" max="12" width="0.7109375" style="150" customWidth="1"/>
    <col min="13" max="13" width="12" style="150" bestFit="1" customWidth="1"/>
    <col min="14" max="14" width="1.140625" style="150" customWidth="1"/>
    <col min="15" max="15" width="24" style="150" bestFit="1" customWidth="1"/>
    <col min="16" max="16" width="0.5703125" style="150" customWidth="1"/>
    <col min="17" max="17" width="24" style="150" bestFit="1" customWidth="1"/>
    <col min="18" max="18" width="0.5703125" style="150" customWidth="1"/>
    <col min="19" max="19" width="7.85546875" style="150" bestFit="1" customWidth="1"/>
    <col min="20" max="20" width="17.28515625" style="150" bestFit="1" customWidth="1"/>
    <col min="21" max="21" width="0.5703125" style="150" customWidth="1"/>
    <col min="22" max="22" width="12" style="150" bestFit="1" customWidth="1"/>
    <col min="23" max="23" width="24" style="150" bestFit="1" customWidth="1"/>
    <col min="24" max="24" width="0.5703125" style="150" customWidth="1"/>
    <col min="25" max="25" width="12" style="150" bestFit="1" customWidth="1"/>
    <col min="26" max="26" width="0.42578125" style="150" customWidth="1"/>
    <col min="27" max="27" width="21" style="150" bestFit="1" customWidth="1"/>
    <col min="28" max="28" width="0.7109375" style="150" customWidth="1"/>
    <col min="29" max="29" width="24" style="150" bestFit="1" customWidth="1"/>
    <col min="30" max="30" width="0.7109375" style="150" customWidth="1"/>
    <col min="31" max="31" width="24" style="150" bestFit="1" customWidth="1"/>
    <col min="32" max="32" width="0.7109375" style="150" customWidth="1"/>
    <col min="33" max="33" width="23" style="150" bestFit="1" customWidth="1"/>
    <col min="34" max="34" width="20.5703125" style="173" customWidth="1"/>
    <col min="35" max="35" width="25.42578125" style="173" bestFit="1" customWidth="1"/>
    <col min="36" max="37" width="9.140625" style="173"/>
    <col min="38" max="16384" width="9.140625" style="150"/>
  </cols>
  <sheetData>
    <row r="1" spans="1:37" s="149" customFormat="1" ht="27">
      <c r="A1" s="269" t="s">
        <v>86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172"/>
      <c r="AI1" s="172"/>
      <c r="AJ1" s="172"/>
      <c r="AK1" s="172"/>
    </row>
    <row r="2" spans="1:37" s="149" customFormat="1" ht="27">
      <c r="A2" s="269" t="s">
        <v>46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172"/>
      <c r="AI2" s="172"/>
      <c r="AJ2" s="172"/>
      <c r="AK2" s="172"/>
    </row>
    <row r="3" spans="1:37" s="149" customFormat="1" ht="27">
      <c r="A3" s="269" t="str">
        <f>' سهام'!A3:W3</f>
        <v>برای ماه منتهی به 1403/07/30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172"/>
      <c r="AI3" s="172"/>
      <c r="AJ3" s="172"/>
      <c r="AK3" s="172"/>
    </row>
    <row r="4" spans="1:37">
      <c r="A4" s="275" t="s">
        <v>63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</row>
    <row r="5" spans="1:37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</row>
    <row r="6" spans="1:37" ht="27.75" customHeight="1" thickBot="1">
      <c r="A6" s="268" t="s">
        <v>64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 t="str">
        <f>' سهام'!C7</f>
        <v>1403/06/31</v>
      </c>
      <c r="N6" s="268"/>
      <c r="O6" s="268"/>
      <c r="P6" s="268"/>
      <c r="Q6" s="268"/>
      <c r="R6" s="242"/>
      <c r="S6" s="276" t="s">
        <v>7</v>
      </c>
      <c r="T6" s="276"/>
      <c r="U6" s="276"/>
      <c r="V6" s="276"/>
      <c r="W6" s="276"/>
      <c r="X6" s="240"/>
      <c r="Y6" s="268" t="str">
        <f>' سهام'!O7</f>
        <v>1403/07/30</v>
      </c>
      <c r="Z6" s="268"/>
      <c r="AA6" s="268"/>
      <c r="AB6" s="268"/>
      <c r="AC6" s="268"/>
      <c r="AD6" s="268"/>
      <c r="AE6" s="268"/>
      <c r="AF6" s="268"/>
      <c r="AG6" s="268"/>
    </row>
    <row r="7" spans="1:37" ht="26.25" customHeight="1">
      <c r="A7" s="266" t="s">
        <v>65</v>
      </c>
      <c r="B7" s="241"/>
      <c r="C7" s="272" t="s">
        <v>66</v>
      </c>
      <c r="D7" s="241"/>
      <c r="E7" s="274" t="s">
        <v>71</v>
      </c>
      <c r="F7" s="241"/>
      <c r="G7" s="267" t="s">
        <v>67</v>
      </c>
      <c r="H7" s="241"/>
      <c r="I7" s="272" t="s">
        <v>20</v>
      </c>
      <c r="J7" s="241"/>
      <c r="K7" s="274" t="s">
        <v>68</v>
      </c>
      <c r="L7" s="151"/>
      <c r="M7" s="270" t="s">
        <v>3</v>
      </c>
      <c r="N7" s="267"/>
      <c r="O7" s="267" t="s">
        <v>0</v>
      </c>
      <c r="P7" s="267"/>
      <c r="Q7" s="267" t="s">
        <v>18</v>
      </c>
      <c r="R7" s="241"/>
      <c r="S7" s="269" t="s">
        <v>4</v>
      </c>
      <c r="T7" s="269"/>
      <c r="U7" s="240"/>
      <c r="V7" s="269" t="s">
        <v>5</v>
      </c>
      <c r="W7" s="269"/>
      <c r="X7" s="240"/>
      <c r="Y7" s="270" t="s">
        <v>3</v>
      </c>
      <c r="Z7" s="266"/>
      <c r="AA7" s="267" t="s">
        <v>69</v>
      </c>
      <c r="AB7" s="241"/>
      <c r="AC7" s="267" t="s">
        <v>0</v>
      </c>
      <c r="AD7" s="266"/>
      <c r="AE7" s="267" t="s">
        <v>18</v>
      </c>
      <c r="AF7" s="152"/>
      <c r="AG7" s="267" t="s">
        <v>19</v>
      </c>
    </row>
    <row r="8" spans="1:37" s="155" customFormat="1" ht="55.5" customHeight="1" thickBot="1">
      <c r="A8" s="268"/>
      <c r="B8" s="241"/>
      <c r="C8" s="273"/>
      <c r="D8" s="241"/>
      <c r="E8" s="273"/>
      <c r="F8" s="241"/>
      <c r="G8" s="268"/>
      <c r="H8" s="241"/>
      <c r="I8" s="273"/>
      <c r="J8" s="241"/>
      <c r="K8" s="273"/>
      <c r="L8" s="242"/>
      <c r="M8" s="271"/>
      <c r="N8" s="266"/>
      <c r="O8" s="268"/>
      <c r="P8" s="266"/>
      <c r="Q8" s="268"/>
      <c r="R8" s="241"/>
      <c r="S8" s="153" t="s">
        <v>3</v>
      </c>
      <c r="T8" s="153" t="s">
        <v>0</v>
      </c>
      <c r="U8" s="154"/>
      <c r="V8" s="153" t="s">
        <v>3</v>
      </c>
      <c r="W8" s="153" t="s">
        <v>45</v>
      </c>
      <c r="X8" s="154"/>
      <c r="Y8" s="271"/>
      <c r="Z8" s="266"/>
      <c r="AA8" s="268"/>
      <c r="AB8" s="241"/>
      <c r="AC8" s="268"/>
      <c r="AD8" s="266"/>
      <c r="AE8" s="268"/>
      <c r="AF8" s="152"/>
      <c r="AG8" s="268"/>
      <c r="AH8" s="244"/>
      <c r="AI8" s="244"/>
      <c r="AJ8" s="244"/>
      <c r="AK8" s="244"/>
    </row>
    <row r="9" spans="1:37" s="155" customFormat="1" ht="55.5" customHeight="1">
      <c r="A9" s="156" t="s">
        <v>111</v>
      </c>
      <c r="B9" s="241"/>
      <c r="C9" s="157" t="s">
        <v>108</v>
      </c>
      <c r="D9" s="139"/>
      <c r="E9" s="157" t="s">
        <v>108</v>
      </c>
      <c r="F9" s="139"/>
      <c r="G9" s="157" t="s">
        <v>114</v>
      </c>
      <c r="H9" s="139"/>
      <c r="I9" s="157" t="s">
        <v>116</v>
      </c>
      <c r="J9" s="157"/>
      <c r="K9" s="158">
        <v>1000000</v>
      </c>
      <c r="L9" s="242"/>
      <c r="M9" s="4">
        <v>13420</v>
      </c>
      <c r="N9" s="144"/>
      <c r="O9" s="4">
        <v>9046611948</v>
      </c>
      <c r="P9" s="4"/>
      <c r="Q9" s="4">
        <v>10538291790</v>
      </c>
      <c r="R9" s="4"/>
      <c r="S9" s="4">
        <v>0</v>
      </c>
      <c r="T9" s="4">
        <v>0</v>
      </c>
      <c r="U9" s="4"/>
      <c r="V9" s="4">
        <v>265</v>
      </c>
      <c r="W9" s="4">
        <v>211033663</v>
      </c>
      <c r="X9" s="4"/>
      <c r="Y9" s="4">
        <v>13155</v>
      </c>
      <c r="Z9" s="4"/>
      <c r="AA9" s="348">
        <v>798750</v>
      </c>
      <c r="AB9" s="4"/>
      <c r="AC9" s="4">
        <v>8867971697</v>
      </c>
      <c r="AD9" s="4"/>
      <c r="AE9" s="4">
        <v>10505651758</v>
      </c>
      <c r="AG9" s="8">
        <f>AE9/درآمدها!$J$5</f>
        <v>0.13560157161527239</v>
      </c>
      <c r="AH9" s="174"/>
      <c r="AI9" s="175"/>
      <c r="AJ9" s="244"/>
      <c r="AK9" s="244"/>
    </row>
    <row r="10" spans="1:37" s="155" customFormat="1" ht="55.5" customHeight="1">
      <c r="A10" s="156" t="s">
        <v>126</v>
      </c>
      <c r="B10" s="241"/>
      <c r="C10" s="157" t="s">
        <v>108</v>
      </c>
      <c r="D10" s="139"/>
      <c r="E10" s="157" t="s">
        <v>108</v>
      </c>
      <c r="F10" s="139"/>
      <c r="G10" s="157" t="s">
        <v>127</v>
      </c>
      <c r="H10" s="139"/>
      <c r="I10" s="157" t="s">
        <v>128</v>
      </c>
      <c r="J10" s="157"/>
      <c r="K10" s="158">
        <v>1000000</v>
      </c>
      <c r="L10" s="242"/>
      <c r="M10" s="4">
        <v>8000</v>
      </c>
      <c r="N10" s="144"/>
      <c r="O10" s="4">
        <v>4953173588</v>
      </c>
      <c r="P10" s="4"/>
      <c r="Q10" s="4">
        <v>5776312854</v>
      </c>
      <c r="R10" s="4"/>
      <c r="S10" s="4">
        <v>0</v>
      </c>
      <c r="T10" s="4">
        <v>0</v>
      </c>
      <c r="U10" s="4"/>
      <c r="V10" s="4">
        <v>158</v>
      </c>
      <c r="W10" s="4">
        <v>115088102</v>
      </c>
      <c r="X10" s="4"/>
      <c r="Y10" s="4">
        <v>7842</v>
      </c>
      <c r="Z10" s="4"/>
      <c r="AA10" s="348">
        <v>729000</v>
      </c>
      <c r="AB10" s="4"/>
      <c r="AC10" s="4">
        <v>4855348410</v>
      </c>
      <c r="AD10" s="4"/>
      <c r="AE10" s="4">
        <v>5715781828</v>
      </c>
      <c r="AG10" s="8">
        <f>AE10/درآمدها!$J$5</f>
        <v>7.3776384058857031E-2</v>
      </c>
      <c r="AH10" s="174"/>
      <c r="AI10" s="175"/>
      <c r="AJ10" s="244"/>
      <c r="AK10" s="244"/>
    </row>
    <row r="11" spans="1:37" s="155" customFormat="1" ht="55.5" customHeight="1" thickBot="1">
      <c r="A11" s="156" t="s">
        <v>113</v>
      </c>
      <c r="B11" s="241"/>
      <c r="C11" s="157" t="s">
        <v>108</v>
      </c>
      <c r="D11" s="139"/>
      <c r="E11" s="157" t="s">
        <v>108</v>
      </c>
      <c r="F11" s="139"/>
      <c r="G11" s="157" t="s">
        <v>115</v>
      </c>
      <c r="H11" s="139"/>
      <c r="I11" s="157" t="s">
        <v>117</v>
      </c>
      <c r="J11" s="157"/>
      <c r="K11" s="158">
        <v>1000000</v>
      </c>
      <c r="L11" s="242"/>
      <c r="M11" s="4">
        <v>11290</v>
      </c>
      <c r="N11" s="144"/>
      <c r="O11" s="4">
        <v>6193536840</v>
      </c>
      <c r="P11" s="4"/>
      <c r="Q11" s="4">
        <v>7027202691</v>
      </c>
      <c r="R11" s="4"/>
      <c r="S11" s="4">
        <v>0</v>
      </c>
      <c r="T11" s="4">
        <v>0</v>
      </c>
      <c r="U11" s="4"/>
      <c r="V11" s="4">
        <v>223</v>
      </c>
      <c r="W11" s="4">
        <v>139858278</v>
      </c>
      <c r="X11" s="4"/>
      <c r="Y11" s="4">
        <v>11067</v>
      </c>
      <c r="Z11" s="4"/>
      <c r="AA11" s="348">
        <v>625180</v>
      </c>
      <c r="AB11" s="4"/>
      <c r="AC11" s="4">
        <v>6071202144</v>
      </c>
      <c r="AD11" s="4"/>
      <c r="AE11" s="4">
        <v>6917613017</v>
      </c>
      <c r="AG11" s="8">
        <f>AE11/درآمدها!$J$5</f>
        <v>8.9289005436255203E-2</v>
      </c>
      <c r="AH11" s="174"/>
      <c r="AI11" s="175"/>
      <c r="AJ11" s="244"/>
      <c r="AK11" s="244"/>
    </row>
    <row r="12" spans="1:37" s="160" customFormat="1" ht="32.25" thickBot="1">
      <c r="A12" s="140" t="s">
        <v>2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4"/>
      <c r="N12" s="150"/>
      <c r="O12" s="349">
        <f>SUM(O9:O11)</f>
        <v>20193322376</v>
      </c>
      <c r="P12" s="150"/>
      <c r="Q12" s="349">
        <f>SUM(Q9:Q11)</f>
        <v>23341807335</v>
      </c>
      <c r="R12" s="150"/>
      <c r="S12" s="350"/>
      <c r="T12" s="349">
        <f>SUM(T9:T11)</f>
        <v>0</v>
      </c>
      <c r="U12" s="150"/>
      <c r="V12" s="350"/>
      <c r="W12" s="349">
        <f>SUM(W9:W11)</f>
        <v>465980043</v>
      </c>
      <c r="X12" s="150"/>
      <c r="Y12" s="350"/>
      <c r="Z12" s="150"/>
      <c r="AA12" s="150"/>
      <c r="AB12" s="150"/>
      <c r="AC12" s="349">
        <f>SUM(AC9:AC11)</f>
        <v>19794522251</v>
      </c>
      <c r="AD12" s="150"/>
      <c r="AE12" s="349">
        <f>SUM(AE9:AE11)</f>
        <v>23139046603</v>
      </c>
      <c r="AF12" s="150"/>
      <c r="AG12" s="159">
        <f>SUM(AG9:AG11)</f>
        <v>0.2986669611103846</v>
      </c>
      <c r="AH12" s="176"/>
      <c r="AI12" s="176"/>
      <c r="AJ12" s="176"/>
      <c r="AK12" s="176"/>
    </row>
    <row r="13" spans="1:37" s="161" customFormat="1" ht="32.25" thickTop="1">
      <c r="M13" s="150"/>
      <c r="N13" s="150"/>
      <c r="P13" s="150"/>
      <c r="R13" s="150"/>
      <c r="S13" s="150"/>
      <c r="U13" s="150"/>
      <c r="V13" s="150"/>
      <c r="X13" s="150"/>
      <c r="Y13" s="150"/>
      <c r="Z13" s="150"/>
      <c r="AA13" s="150"/>
      <c r="AB13" s="150"/>
      <c r="AD13" s="150"/>
      <c r="AF13" s="150"/>
      <c r="AH13" s="173"/>
      <c r="AI13" s="173"/>
      <c r="AJ13" s="173"/>
      <c r="AK13" s="173"/>
    </row>
    <row r="14" spans="1:37" s="4" customFormat="1" ht="30.75">
      <c r="W14" s="146"/>
      <c r="AC14" s="146"/>
      <c r="AE14" s="146"/>
      <c r="AH14" s="175"/>
      <c r="AI14" s="175"/>
      <c r="AJ14" s="175"/>
      <c r="AK14" s="175"/>
    </row>
    <row r="15" spans="1:37" s="4" customFormat="1" ht="30.75"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G15" s="8"/>
      <c r="AH15" s="175"/>
      <c r="AI15" s="175"/>
      <c r="AJ15" s="175"/>
      <c r="AK15" s="175"/>
    </row>
    <row r="16" spans="1:37" s="4" customFormat="1" ht="30.75"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G16" s="8"/>
      <c r="AH16" s="175"/>
      <c r="AI16" s="175"/>
      <c r="AJ16" s="175"/>
      <c r="AK16" s="175"/>
    </row>
    <row r="17" spans="29:37" s="4" customFormat="1" ht="30.75">
      <c r="AC17" s="8"/>
      <c r="AG17" s="8"/>
      <c r="AH17" s="175"/>
      <c r="AI17" s="175"/>
      <c r="AJ17" s="175"/>
      <c r="AK17" s="175"/>
    </row>
    <row r="18" spans="29:37" s="4" customFormat="1" ht="30.75">
      <c r="AC18" s="162"/>
      <c r="AG18" s="10"/>
      <c r="AH18" s="175"/>
      <c r="AI18" s="175"/>
      <c r="AJ18" s="175"/>
      <c r="AK18" s="175"/>
    </row>
    <row r="19" spans="29:37" s="4" customFormat="1" ht="30.75">
      <c r="AH19" s="175"/>
      <c r="AI19" s="175"/>
      <c r="AJ19" s="175"/>
      <c r="AK19" s="175"/>
    </row>
    <row r="20" spans="29:37" s="4" customFormat="1" ht="30.75">
      <c r="AH20" s="175"/>
      <c r="AI20" s="175"/>
      <c r="AJ20" s="175"/>
      <c r="AK20" s="175"/>
    </row>
    <row r="21" spans="29:37" s="4" customFormat="1" ht="30.75">
      <c r="AH21" s="175"/>
      <c r="AI21" s="175"/>
      <c r="AJ21" s="175"/>
      <c r="AK21" s="175"/>
    </row>
    <row r="22" spans="29:37" s="4" customFormat="1" ht="30.75">
      <c r="AH22" s="175"/>
      <c r="AI22" s="175"/>
      <c r="AJ22" s="175"/>
      <c r="AK22" s="175"/>
    </row>
    <row r="23" spans="29:37" s="4" customFormat="1" ht="30.75">
      <c r="AH23" s="175"/>
      <c r="AI23" s="175"/>
      <c r="AJ23" s="175"/>
      <c r="AK23" s="175"/>
    </row>
    <row r="24" spans="29:37" s="4" customFormat="1" ht="30.75">
      <c r="AH24" s="175"/>
      <c r="AI24" s="175"/>
      <c r="AJ24" s="175"/>
      <c r="AK24" s="175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C881-7777-464D-8E69-C2FA3CF54237}">
  <sheetPr>
    <pageSetUpPr fitToPage="1"/>
  </sheetPr>
  <dimension ref="A1:O15"/>
  <sheetViews>
    <sheetView rightToLeft="1" view="pageBreakPreview" zoomScaleNormal="100" zoomScaleSheetLayoutView="100" workbookViewId="0">
      <selection activeCell="K16" sqref="K16"/>
    </sheetView>
  </sheetViews>
  <sheetFormatPr defaultColWidth="9.140625" defaultRowHeight="22.5"/>
  <cols>
    <col min="1" max="1" width="37.28515625" customWidth="1"/>
    <col min="2" max="2" width="1" customWidth="1"/>
    <col min="3" max="3" width="17.85546875" customWidth="1"/>
    <col min="4" max="4" width="1.140625" customWidth="1"/>
    <col min="5" max="5" width="13.5703125" customWidth="1"/>
    <col min="6" max="6" width="1.140625" customWidth="1"/>
    <col min="7" max="7" width="13.5703125" bestFit="1" customWidth="1"/>
    <col min="8" max="8" width="1.140625" customWidth="1"/>
    <col min="9" max="9" width="10.5703125" bestFit="1" customWidth="1"/>
    <col min="10" max="10" width="0.85546875" customWidth="1"/>
    <col min="11" max="11" width="28.140625" customWidth="1"/>
    <col min="12" max="12" width="1.85546875" customWidth="1"/>
    <col min="13" max="13" width="86.7109375" customWidth="1"/>
    <col min="14" max="14" width="20.42578125" style="94" bestFit="1" customWidth="1"/>
    <col min="15" max="15" width="22.28515625" style="107" customWidth="1"/>
  </cols>
  <sheetData>
    <row r="1" spans="1:15" s="96" customFormat="1" ht="26.25">
      <c r="A1" s="279" t="s">
        <v>86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94"/>
      <c r="O1" s="95"/>
    </row>
    <row r="2" spans="1:15" s="96" customFormat="1" ht="23.25" customHeight="1">
      <c r="A2" s="279" t="s">
        <v>46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94"/>
      <c r="O2" s="95"/>
    </row>
    <row r="3" spans="1:15" s="96" customFormat="1" ht="24" customHeight="1">
      <c r="A3" s="279" t="str">
        <f>' سهام'!A3:W3</f>
        <v>برای ماه منتهی به 1403/07/30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94"/>
      <c r="O3" s="95"/>
    </row>
    <row r="5" spans="1:15" s="97" customFormat="1">
      <c r="A5" s="280" t="s">
        <v>129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94"/>
      <c r="O5" s="95"/>
    </row>
    <row r="6" spans="1:15" s="97" customFormat="1">
      <c r="A6" s="280" t="s">
        <v>130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94"/>
      <c r="O6" s="95"/>
    </row>
    <row r="7" spans="1:15" s="97" customFormat="1" ht="27" customHeight="1">
      <c r="N7" s="94"/>
      <c r="O7" s="95"/>
    </row>
    <row r="8" spans="1:15" s="97" customFormat="1">
      <c r="C8" s="277" t="str">
        <f>اوراق!Y6</f>
        <v>1403/07/30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94"/>
      <c r="O8" s="95"/>
    </row>
    <row r="9" spans="1:15" s="97" customFormat="1" ht="42">
      <c r="A9" s="98" t="s">
        <v>131</v>
      </c>
      <c r="C9" s="98" t="s">
        <v>132</v>
      </c>
      <c r="E9" s="99" t="s">
        <v>133</v>
      </c>
      <c r="G9" s="98" t="s">
        <v>134</v>
      </c>
      <c r="I9" s="98" t="s">
        <v>135</v>
      </c>
      <c r="K9" s="99" t="s">
        <v>136</v>
      </c>
      <c r="M9" s="98" t="s">
        <v>137</v>
      </c>
      <c r="N9" s="94"/>
      <c r="O9" s="100"/>
    </row>
    <row r="10" spans="1:15" ht="36.75" customHeight="1">
      <c r="A10" s="16"/>
      <c r="B10" s="101"/>
      <c r="C10" s="102"/>
      <c r="D10" s="103"/>
      <c r="E10" s="114"/>
      <c r="F10" s="104"/>
      <c r="G10" s="104"/>
      <c r="H10" s="101"/>
      <c r="I10" s="113"/>
      <c r="J10" s="101"/>
      <c r="K10" s="104">
        <f>IFERROR(VLOOKUP(A10,' سهام'!$A$10:$U$34,21,0),0)</f>
        <v>0</v>
      </c>
      <c r="L10" s="105"/>
      <c r="M10" s="111"/>
      <c r="N10" s="106"/>
    </row>
    <row r="11" spans="1:15" ht="23.25" thickBot="1">
      <c r="A11" s="108"/>
      <c r="B11" s="101"/>
      <c r="C11" s="109"/>
      <c r="D11" s="108"/>
      <c r="E11" s="110"/>
      <c r="F11" s="108"/>
      <c r="G11" s="110"/>
      <c r="H11" s="101"/>
      <c r="I11" s="101"/>
      <c r="J11" s="101"/>
      <c r="K11" s="110">
        <f>SUM(K10)</f>
        <v>0</v>
      </c>
      <c r="L11" s="101"/>
      <c r="M11" s="101"/>
    </row>
    <row r="12" spans="1:15" ht="23.25" thickTop="1"/>
    <row r="13" spans="1:15">
      <c r="C13" s="109"/>
      <c r="K13" s="109"/>
    </row>
    <row r="14" spans="1:15">
      <c r="C14" s="93"/>
    </row>
    <row r="15" spans="1:15">
      <c r="C15" s="109"/>
    </row>
  </sheetData>
  <autoFilter ref="A9:M9" xr:uid="{00000000-0009-0000-0000-000004000000}">
    <sortState xmlns:xlrd2="http://schemas.microsoft.com/office/spreadsheetml/2017/richdata2" ref="A10:P16">
      <sortCondition descending="1" ref="K9"/>
    </sortState>
  </autoFilter>
  <mergeCells count="6">
    <mergeCell ref="C8:M8"/>
    <mergeCell ref="A1:M1"/>
    <mergeCell ref="A2:M2"/>
    <mergeCell ref="A3:M3"/>
    <mergeCell ref="A5:M5"/>
    <mergeCell ref="A6:M6"/>
  </mergeCells>
  <printOptions horizontalCentered="1"/>
  <pageMargins left="0" right="0.28999999999999998" top="0.52" bottom="0" header="0.75" footer="0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29"/>
  <sheetViews>
    <sheetView rightToLeft="1" view="pageBreakPreview" zoomScaleNormal="100" zoomScaleSheetLayoutView="100" workbookViewId="0">
      <selection activeCell="A26" sqref="A26"/>
    </sheetView>
  </sheetViews>
  <sheetFormatPr defaultColWidth="9.140625" defaultRowHeight="15"/>
  <cols>
    <col min="1" max="1" width="39.140625" style="163" bestFit="1" customWidth="1"/>
    <col min="2" max="2" width="0.7109375" style="163" customWidth="1"/>
    <col min="3" max="3" width="21.28515625" style="15" customWidth="1"/>
    <col min="4" max="4" width="0.7109375" style="163" customWidth="1"/>
    <col min="5" max="5" width="22.28515625" style="163" customWidth="1"/>
    <col min="6" max="6" width="0.42578125" style="163" customWidth="1"/>
    <col min="7" max="7" width="22.140625" style="163" customWidth="1"/>
    <col min="8" max="8" width="0.42578125" style="163" customWidth="1"/>
    <col min="9" max="9" width="18.42578125" style="163" customWidth="1"/>
    <col min="10" max="10" width="0.5703125" style="163" customWidth="1"/>
    <col min="11" max="11" width="12.140625" style="163" customWidth="1"/>
    <col min="12" max="16384" width="9.140625" style="163"/>
  </cols>
  <sheetData>
    <row r="1" spans="1:19" ht="18.75">
      <c r="A1" s="285" t="s">
        <v>86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9" ht="18.75">
      <c r="A2" s="285" t="s">
        <v>46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9" ht="18.75">
      <c r="A3" s="285" t="str">
        <f>' سهام'!A3:W3</f>
        <v>برای ماه منتهی به 1403/07/30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9" ht="18.75">
      <c r="A4" s="288" t="s">
        <v>47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1:19" ht="18.75" thickBot="1">
      <c r="A5" s="164"/>
      <c r="B5" s="164"/>
      <c r="C5" s="11"/>
      <c r="D5" s="165"/>
      <c r="E5" s="165"/>
      <c r="F5" s="165"/>
      <c r="G5" s="165"/>
      <c r="H5" s="165"/>
      <c r="I5" s="165"/>
      <c r="J5" s="165"/>
      <c r="K5" s="165"/>
    </row>
    <row r="6" spans="1:19" ht="18.75" customHeight="1" thickBot="1">
      <c r="A6" s="166"/>
      <c r="B6" s="164"/>
      <c r="C6" s="243" t="str">
        <f>اوراق!M6</f>
        <v>1403/06/31</v>
      </c>
      <c r="D6" s="247"/>
      <c r="E6" s="284" t="s">
        <v>7</v>
      </c>
      <c r="F6" s="284"/>
      <c r="G6" s="284"/>
      <c r="H6" s="164"/>
      <c r="I6" s="289" t="str">
        <f>اوراق!Y6</f>
        <v>1403/07/30</v>
      </c>
      <c r="J6" s="290"/>
      <c r="K6" s="290"/>
    </row>
    <row r="7" spans="1:19" ht="24" customHeight="1">
      <c r="A7" s="293" t="s">
        <v>8</v>
      </c>
      <c r="B7" s="167"/>
      <c r="C7" s="295" t="s">
        <v>6</v>
      </c>
      <c r="D7" s="167"/>
      <c r="E7" s="282" t="s">
        <v>31</v>
      </c>
      <c r="F7" s="168"/>
      <c r="G7" s="282" t="s">
        <v>32</v>
      </c>
      <c r="H7" s="164"/>
      <c r="I7" s="291" t="s">
        <v>6</v>
      </c>
      <c r="J7" s="293"/>
      <c r="K7" s="286" t="s">
        <v>19</v>
      </c>
    </row>
    <row r="8" spans="1:19" ht="18.75" thickBot="1">
      <c r="A8" s="294"/>
      <c r="B8" s="167"/>
      <c r="C8" s="296"/>
      <c r="D8" s="167"/>
      <c r="E8" s="283"/>
      <c r="F8" s="164"/>
      <c r="G8" s="283"/>
      <c r="H8" s="164"/>
      <c r="I8" s="292"/>
      <c r="J8" s="293"/>
      <c r="K8" s="287"/>
    </row>
    <row r="9" spans="1:19" s="164" customFormat="1" ht="18">
      <c r="A9" s="169" t="s">
        <v>141</v>
      </c>
      <c r="C9" s="12">
        <v>240000000</v>
      </c>
      <c r="D9" s="12"/>
      <c r="E9" s="12">
        <v>0</v>
      </c>
      <c r="F9" s="12"/>
      <c r="G9" s="12">
        <v>0</v>
      </c>
      <c r="H9" s="12"/>
      <c r="I9" s="12">
        <v>240000000</v>
      </c>
      <c r="K9" s="13">
        <f>I9/درآمدها!$J$5</f>
        <v>3.0977970655540719E-3</v>
      </c>
      <c r="L9" s="146"/>
      <c r="M9" s="170"/>
      <c r="N9" s="146"/>
      <c r="O9" s="170"/>
      <c r="P9" s="146"/>
      <c r="Q9" s="170"/>
      <c r="R9" s="146"/>
      <c r="S9" s="170"/>
    </row>
    <row r="10" spans="1:19" s="164" customFormat="1" ht="18">
      <c r="A10" s="169" t="s">
        <v>152</v>
      </c>
      <c r="C10" s="12">
        <v>4796750776</v>
      </c>
      <c r="D10" s="12"/>
      <c r="E10" s="12">
        <v>12536411184</v>
      </c>
      <c r="F10" s="12"/>
      <c r="G10" s="12">
        <v>16896509148</v>
      </c>
      <c r="H10" s="12"/>
      <c r="I10" s="12">
        <v>436652812</v>
      </c>
      <c r="K10" s="13">
        <f>I10/درآمدها!$J$5</f>
        <v>5.636090831998058E-3</v>
      </c>
      <c r="L10" s="146"/>
      <c r="M10" s="170"/>
      <c r="N10" s="146"/>
      <c r="O10" s="170"/>
      <c r="P10" s="146"/>
      <c r="Q10" s="170"/>
      <c r="R10" s="146"/>
      <c r="S10" s="170"/>
    </row>
    <row r="11" spans="1:19" s="164" customFormat="1" ht="18.75" thickBot="1">
      <c r="A11" s="169" t="s">
        <v>95</v>
      </c>
      <c r="C11" s="12">
        <v>1403661</v>
      </c>
      <c r="D11" s="12"/>
      <c r="E11" s="12">
        <v>5815274</v>
      </c>
      <c r="F11" s="12"/>
      <c r="G11" s="12">
        <v>0</v>
      </c>
      <c r="H11" s="12"/>
      <c r="I11" s="12">
        <v>7218935</v>
      </c>
      <c r="K11" s="13">
        <f>I11/درآمدها!$J$5</f>
        <v>9.3178315247606605E-5</v>
      </c>
      <c r="L11" s="146"/>
      <c r="M11" s="170"/>
      <c r="N11" s="146"/>
      <c r="O11" s="170"/>
      <c r="P11" s="146"/>
      <c r="Q11" s="170"/>
      <c r="S11" s="170"/>
    </row>
    <row r="12" spans="1:19" s="164" customFormat="1" ht="24" customHeight="1" thickBot="1">
      <c r="A12" s="167" t="s">
        <v>2</v>
      </c>
      <c r="B12" s="167"/>
      <c r="C12" s="351">
        <f>SUM(C9:C11)</f>
        <v>5038154437</v>
      </c>
      <c r="E12" s="352">
        <f>SUM(E9:E11)</f>
        <v>12542226458</v>
      </c>
      <c r="G12" s="352">
        <f>SUM(G9:G11)</f>
        <v>16896509148</v>
      </c>
      <c r="I12" s="352">
        <f>SUM(I9:I11)</f>
        <v>683871747</v>
      </c>
      <c r="K12" s="14">
        <f>SUM(K9:K11)</f>
        <v>8.8270662127997359E-3</v>
      </c>
    </row>
    <row r="13" spans="1:19" ht="18.75" thickTop="1">
      <c r="D13" s="164"/>
      <c r="F13" s="164"/>
      <c r="H13" s="164"/>
      <c r="J13" s="164"/>
    </row>
    <row r="14" spans="1:19" ht="18">
      <c r="D14" s="164"/>
      <c r="F14" s="164"/>
      <c r="H14" s="164"/>
      <c r="J14" s="164"/>
    </row>
    <row r="15" spans="1:19" ht="18">
      <c r="C15" s="169"/>
      <c r="D15" s="169"/>
      <c r="E15" s="169"/>
      <c r="F15" s="169"/>
      <c r="G15" s="169"/>
      <c r="H15" s="169"/>
      <c r="I15" s="169"/>
      <c r="J15" s="169"/>
      <c r="K15" s="169"/>
      <c r="L15" s="169"/>
    </row>
    <row r="16" spans="1:19" ht="18.75">
      <c r="C16" s="235"/>
      <c r="D16" s="235"/>
      <c r="E16" s="235"/>
      <c r="F16" s="235"/>
      <c r="G16" s="235"/>
      <c r="H16" s="235"/>
      <c r="I16" s="235"/>
      <c r="J16" s="169"/>
      <c r="K16" s="169"/>
      <c r="L16" s="169"/>
    </row>
    <row r="17" spans="3:12" ht="18">
      <c r="C17" s="171"/>
      <c r="D17" s="171"/>
      <c r="E17" s="171"/>
      <c r="F17" s="171"/>
      <c r="G17" s="171"/>
      <c r="H17" s="171"/>
      <c r="I17" s="171"/>
      <c r="J17" s="169"/>
      <c r="K17" s="169"/>
      <c r="L17" s="169"/>
    </row>
    <row r="18" spans="3:12" ht="18.75">
      <c r="C18" s="146"/>
      <c r="D18" s="235"/>
      <c r="E18" s="235"/>
      <c r="F18" s="235"/>
      <c r="G18" s="235"/>
      <c r="H18" s="235"/>
      <c r="I18" s="235"/>
      <c r="J18" s="169"/>
      <c r="K18" s="169"/>
      <c r="L18" s="169"/>
    </row>
    <row r="19" spans="3:12" ht="18">
      <c r="C19" s="171"/>
      <c r="D19" s="171"/>
      <c r="E19" s="171"/>
      <c r="F19" s="171"/>
      <c r="G19" s="171"/>
      <c r="H19" s="171"/>
      <c r="I19" s="171"/>
      <c r="J19" s="169"/>
      <c r="K19" s="169"/>
      <c r="L19" s="169"/>
    </row>
    <row r="20" spans="3:12" ht="18.75">
      <c r="C20" s="235"/>
      <c r="D20" s="235"/>
      <c r="E20" s="235"/>
      <c r="F20" s="235"/>
      <c r="G20" s="235"/>
      <c r="H20" s="235"/>
      <c r="I20" s="235"/>
      <c r="J20" s="169"/>
      <c r="K20" s="169"/>
      <c r="L20" s="169"/>
    </row>
    <row r="21" spans="3:12" ht="18">
      <c r="C21" s="171"/>
      <c r="D21" s="171"/>
      <c r="E21" s="171"/>
      <c r="F21" s="171"/>
      <c r="G21" s="171"/>
      <c r="H21" s="171"/>
      <c r="I21" s="171"/>
      <c r="J21" s="169"/>
      <c r="K21" s="169"/>
      <c r="L21" s="169"/>
    </row>
    <row r="22" spans="3:12" ht="18">
      <c r="C22" s="171"/>
      <c r="D22" s="171"/>
      <c r="E22" s="171"/>
      <c r="F22" s="171"/>
      <c r="G22" s="171"/>
      <c r="H22" s="171"/>
      <c r="I22" s="171"/>
      <c r="J22" s="169"/>
      <c r="K22" s="169"/>
      <c r="L22" s="169"/>
    </row>
    <row r="23" spans="3:12" ht="18">
      <c r="C23" s="171"/>
      <c r="D23" s="171"/>
      <c r="E23" s="171"/>
      <c r="F23" s="171"/>
      <c r="G23" s="171"/>
      <c r="H23" s="171"/>
      <c r="I23" s="171"/>
      <c r="J23" s="169"/>
      <c r="K23" s="169"/>
      <c r="L23" s="169"/>
    </row>
    <row r="24" spans="3:12" ht="18">
      <c r="C24" s="171"/>
      <c r="D24" s="171"/>
      <c r="E24" s="171"/>
      <c r="F24" s="171"/>
      <c r="G24" s="171"/>
      <c r="H24" s="171"/>
      <c r="I24" s="171"/>
      <c r="J24" s="169"/>
      <c r="K24" s="169"/>
      <c r="L24" s="169"/>
    </row>
    <row r="25" spans="3:12" ht="18">
      <c r="C25" s="171"/>
      <c r="D25" s="171"/>
      <c r="E25" s="171"/>
      <c r="F25" s="171"/>
      <c r="G25" s="171"/>
      <c r="H25" s="171"/>
      <c r="I25" s="171"/>
      <c r="J25" s="169"/>
      <c r="K25" s="169"/>
      <c r="L25" s="169"/>
    </row>
    <row r="26" spans="3:12" ht="18">
      <c r="C26" s="171"/>
      <c r="D26" s="171"/>
      <c r="E26" s="171"/>
      <c r="F26" s="171"/>
      <c r="G26" s="171"/>
      <c r="H26" s="171"/>
      <c r="I26" s="171"/>
      <c r="J26" s="169"/>
      <c r="K26" s="169"/>
      <c r="L26" s="169"/>
    </row>
    <row r="27" spans="3:12" ht="18"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3:12" ht="18">
      <c r="C28" s="169"/>
      <c r="D28" s="169"/>
      <c r="E28" s="169"/>
      <c r="F28" s="169"/>
      <c r="G28" s="169"/>
      <c r="H28" s="169"/>
      <c r="I28" s="169"/>
      <c r="J28" s="169"/>
      <c r="K28" s="169"/>
      <c r="L28" s="169"/>
    </row>
    <row r="29" spans="3:12" ht="18">
      <c r="C29" s="169"/>
      <c r="D29" s="169"/>
      <c r="E29" s="169"/>
      <c r="F29" s="169"/>
      <c r="G29" s="169"/>
      <c r="H29" s="169"/>
      <c r="I29" s="169"/>
      <c r="J29" s="169"/>
      <c r="K29" s="169"/>
      <c r="L29" s="169"/>
    </row>
  </sheetData>
  <autoFilter ref="A8:K8" xr:uid="{00000000-0009-0000-0000-000003000000}">
    <sortState xmlns:xlrd2="http://schemas.microsoft.com/office/spreadsheetml/2017/richdata2" ref="A10:K11">
      <sortCondition descending="1" ref="I8"/>
    </sortState>
  </autoFilter>
  <mergeCells count="13">
    <mergeCell ref="G7:G8"/>
    <mergeCell ref="E6:G6"/>
    <mergeCell ref="A1:K1"/>
    <mergeCell ref="A2:K2"/>
    <mergeCell ref="A3:K3"/>
    <mergeCell ref="K7:K8"/>
    <mergeCell ref="A4:K4"/>
    <mergeCell ref="I6:K6"/>
    <mergeCell ref="I7:I8"/>
    <mergeCell ref="J7:J8"/>
    <mergeCell ref="A7:A8"/>
    <mergeCell ref="C7:C8"/>
    <mergeCell ref="E7:E8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J4" sqref="J4"/>
    </sheetView>
  </sheetViews>
  <sheetFormatPr defaultColWidth="9.140625" defaultRowHeight="18"/>
  <cols>
    <col min="1" max="1" width="71" style="88" bestFit="1" customWidth="1"/>
    <col min="2" max="2" width="1" style="88" customWidth="1"/>
    <col min="3" max="3" width="9.140625" style="17"/>
    <col min="4" max="4" width="1.140625" style="17" customWidth="1"/>
    <col min="5" max="5" width="25.42578125" style="17" bestFit="1" customWidth="1"/>
    <col min="6" max="6" width="1" style="17" customWidth="1"/>
    <col min="7" max="7" width="19.7109375" style="17" customWidth="1"/>
    <col min="8" max="8" width="0.42578125" style="17" customWidth="1"/>
    <col min="9" max="9" width="24.5703125" style="17" customWidth="1"/>
    <col min="10" max="10" width="23.42578125" style="89" bestFit="1" customWidth="1"/>
    <col min="11" max="11" width="17.7109375" style="89" bestFit="1" customWidth="1"/>
    <col min="12" max="12" width="14.28515625" style="17" bestFit="1" customWidth="1"/>
    <col min="13" max="13" width="12.5703125" style="17" bestFit="1" customWidth="1"/>
    <col min="14" max="14" width="9.5703125" style="17" bestFit="1" customWidth="1"/>
    <col min="15" max="16384" width="9.140625" style="17"/>
  </cols>
  <sheetData>
    <row r="1" spans="1:14" ht="21">
      <c r="A1" s="298" t="s">
        <v>86</v>
      </c>
      <c r="B1" s="298"/>
      <c r="C1" s="298"/>
      <c r="D1" s="298"/>
      <c r="E1" s="298"/>
      <c r="F1" s="298"/>
      <c r="G1" s="298"/>
      <c r="H1" s="298"/>
      <c r="I1" s="298"/>
      <c r="J1" s="76"/>
      <c r="K1" s="76"/>
    </row>
    <row r="2" spans="1:14" ht="21">
      <c r="A2" s="298" t="s">
        <v>46</v>
      </c>
      <c r="B2" s="298"/>
      <c r="C2" s="298"/>
      <c r="D2" s="298"/>
      <c r="E2" s="298"/>
      <c r="F2" s="298"/>
      <c r="G2" s="298"/>
      <c r="H2" s="298"/>
      <c r="I2" s="298"/>
      <c r="J2" s="76"/>
      <c r="K2" s="76"/>
    </row>
    <row r="3" spans="1:14" ht="21.75" thickBot="1">
      <c r="A3" s="298" t="str">
        <f>سپرده!A3</f>
        <v>برای ماه منتهی به 1403/07/30</v>
      </c>
      <c r="B3" s="298"/>
      <c r="C3" s="298"/>
      <c r="D3" s="298"/>
      <c r="E3" s="298"/>
      <c r="F3" s="298"/>
      <c r="G3" s="298"/>
      <c r="H3" s="298"/>
      <c r="I3" s="298"/>
      <c r="J3" s="76"/>
      <c r="K3" s="76"/>
    </row>
    <row r="4" spans="1:14" ht="21.75" thickBot="1">
      <c r="A4" s="77" t="s">
        <v>24</v>
      </c>
      <c r="B4" s="78"/>
      <c r="C4" s="78"/>
      <c r="D4" s="78"/>
      <c r="E4" s="78"/>
      <c r="F4" s="78"/>
      <c r="G4" s="78"/>
      <c r="H4" s="78"/>
      <c r="I4" s="78"/>
      <c r="J4" s="79">
        <v>23265073828</v>
      </c>
      <c r="K4" s="80" t="s">
        <v>84</v>
      </c>
    </row>
    <row r="5" spans="1:14" ht="21.75" customHeight="1" thickBot="1">
      <c r="A5" s="77"/>
      <c r="B5" s="77"/>
      <c r="C5" s="77"/>
      <c r="D5" s="77"/>
      <c r="E5" s="297" t="str">
        <f>اوراق!Y6</f>
        <v>1403/07/30</v>
      </c>
      <c r="F5" s="297"/>
      <c r="G5" s="297"/>
      <c r="H5" s="297"/>
      <c r="I5" s="297"/>
      <c r="J5" s="79">
        <v>77474410015</v>
      </c>
      <c r="K5" s="80" t="s">
        <v>83</v>
      </c>
    </row>
    <row r="6" spans="1:14" ht="21.75" customHeight="1" thickBot="1">
      <c r="A6" s="81" t="s">
        <v>33</v>
      </c>
      <c r="B6" s="82"/>
      <c r="C6" s="58" t="s">
        <v>34</v>
      </c>
      <c r="D6" s="83"/>
      <c r="E6" s="58" t="s">
        <v>6</v>
      </c>
      <c r="F6" s="83"/>
      <c r="G6" s="58" t="s">
        <v>16</v>
      </c>
      <c r="H6" s="83"/>
      <c r="I6" s="58" t="s">
        <v>176</v>
      </c>
      <c r="J6" s="84"/>
      <c r="K6" s="84"/>
    </row>
    <row r="7" spans="1:14" ht="21" customHeight="1">
      <c r="A7" s="59" t="s">
        <v>96</v>
      </c>
      <c r="B7" s="59"/>
      <c r="C7" s="85" t="s">
        <v>48</v>
      </c>
      <c r="D7" s="78"/>
      <c r="E7" s="134">
        <f>'درآمد سرمایه گذاری در سهام '!S46</f>
        <v>16862820725</v>
      </c>
      <c r="F7" s="91"/>
      <c r="G7" s="135">
        <f>E7/$E$11</f>
        <v>0.92558841635018496</v>
      </c>
      <c r="H7" s="90"/>
      <c r="I7" s="135">
        <f>E7/$J$5</f>
        <v>0.21765665232862244</v>
      </c>
      <c r="J7" s="84"/>
      <c r="K7" s="84"/>
    </row>
    <row r="8" spans="1:14" ht="18.75" customHeight="1">
      <c r="A8" s="59" t="s">
        <v>43</v>
      </c>
      <c r="B8" s="59"/>
      <c r="C8" s="85" t="s">
        <v>49</v>
      </c>
      <c r="D8" s="78"/>
      <c r="E8" s="134">
        <f>'درآمد سرمایه گذاری در اوراق بها'!O15</f>
        <v>757795386</v>
      </c>
      <c r="F8" s="91"/>
      <c r="G8" s="135">
        <f t="shared" ref="G8:G10" si="0">E8/$E$11</f>
        <v>4.1594857864161817E-2</v>
      </c>
      <c r="H8" s="90"/>
      <c r="I8" s="135">
        <f t="shared" ref="I8:I10" si="1">E8/$J$5</f>
        <v>9.7812346793383961E-3</v>
      </c>
      <c r="J8" s="84"/>
      <c r="K8" s="84"/>
      <c r="L8" s="84"/>
      <c r="N8" s="86"/>
    </row>
    <row r="9" spans="1:14" ht="18.75" customHeight="1">
      <c r="A9" s="59" t="s">
        <v>44</v>
      </c>
      <c r="B9" s="59"/>
      <c r="C9" s="85" t="s">
        <v>50</v>
      </c>
      <c r="D9" s="78"/>
      <c r="E9" s="134">
        <f>'درآمد سپرده بانکی'!G11</f>
        <v>562943292</v>
      </c>
      <c r="F9" s="91"/>
      <c r="G9" s="135">
        <f t="shared" si="0"/>
        <v>3.0899562928090121E-2</v>
      </c>
      <c r="H9" s="90"/>
      <c r="I9" s="135">
        <f t="shared" si="1"/>
        <v>7.266183658462288E-3</v>
      </c>
      <c r="J9" s="84"/>
      <c r="K9" s="84"/>
      <c r="N9" s="86"/>
    </row>
    <row r="10" spans="1:14" ht="19.5" customHeight="1" thickBot="1">
      <c r="A10" s="59" t="s">
        <v>29</v>
      </c>
      <c r="B10" s="59"/>
      <c r="C10" s="85" t="s">
        <v>51</v>
      </c>
      <c r="D10" s="78"/>
      <c r="E10" s="134">
        <f>'سایر درآمدها'!E11</f>
        <v>34927807</v>
      </c>
      <c r="F10" s="91"/>
      <c r="G10" s="135">
        <f t="shared" si="0"/>
        <v>1.9171628575630787E-3</v>
      </c>
      <c r="H10" s="90"/>
      <c r="I10" s="135">
        <f t="shared" si="1"/>
        <v>4.5083024179516239E-4</v>
      </c>
      <c r="J10" s="84"/>
      <c r="K10" s="84"/>
      <c r="N10" s="86"/>
    </row>
    <row r="11" spans="1:14" ht="19.5" customHeight="1" thickBot="1">
      <c r="A11" s="59" t="s">
        <v>2</v>
      </c>
      <c r="B11" s="87"/>
      <c r="C11" s="22"/>
      <c r="D11" s="22"/>
      <c r="E11" s="138">
        <f>SUM(E7:E10)</f>
        <v>18218487210</v>
      </c>
      <c r="F11" s="92"/>
      <c r="G11" s="136">
        <f>SUM(G7:G10)</f>
        <v>1</v>
      </c>
      <c r="H11" s="90"/>
      <c r="I11" s="137">
        <f>SUM(I7:I10)</f>
        <v>0.23515490090821828</v>
      </c>
      <c r="J11" s="84"/>
      <c r="K11" s="84"/>
    </row>
    <row r="12" spans="1:14" ht="18.75" customHeight="1" thickTop="1">
      <c r="J12" s="84"/>
      <c r="K12" s="84"/>
    </row>
    <row r="13" spans="1:14" ht="18" customHeight="1">
      <c r="E13" s="18"/>
      <c r="F13" s="18"/>
      <c r="G13" s="18"/>
      <c r="J13" s="84"/>
      <c r="K13" s="84"/>
    </row>
    <row r="14" spans="1:14" ht="18" customHeight="1">
      <c r="E14" s="18"/>
      <c r="F14" s="18"/>
      <c r="G14" s="18"/>
      <c r="J14" s="84"/>
      <c r="K14" s="84"/>
    </row>
    <row r="15" spans="1:14" ht="18" customHeight="1">
      <c r="E15" s="18"/>
      <c r="F15" s="18"/>
      <c r="G15" s="18"/>
      <c r="J15" s="84"/>
      <c r="K15" s="84"/>
    </row>
    <row r="16" spans="1:14" ht="18" customHeight="1">
      <c r="E16" s="18"/>
      <c r="F16" s="18"/>
      <c r="G16" s="18"/>
      <c r="J16" s="84"/>
      <c r="K16" s="84"/>
    </row>
    <row r="17" spans="1:11" ht="17.45" customHeight="1">
      <c r="E17" s="18"/>
      <c r="F17" s="18"/>
      <c r="G17" s="18"/>
      <c r="J17" s="84"/>
      <c r="K17" s="84"/>
    </row>
    <row r="18" spans="1:11" ht="17.45" customHeight="1">
      <c r="E18" s="18"/>
      <c r="F18" s="18"/>
      <c r="G18" s="18"/>
    </row>
    <row r="19" spans="1:11" ht="17.45" customHeight="1"/>
    <row r="21" spans="1:11">
      <c r="A21" s="88" t="s">
        <v>55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  <pageSetUpPr fitToPage="1"/>
  </sheetPr>
  <dimension ref="A1:AD56"/>
  <sheetViews>
    <sheetView rightToLeft="1" view="pageBreakPreview" zoomScale="55" zoomScaleNormal="100" zoomScaleSheetLayoutView="55" workbookViewId="0">
      <selection activeCell="K55" sqref="K55"/>
    </sheetView>
  </sheetViews>
  <sheetFormatPr defaultColWidth="9.140625" defaultRowHeight="15"/>
  <cols>
    <col min="1" max="1" width="53.140625" style="179" bestFit="1" customWidth="1"/>
    <col min="2" max="2" width="1.28515625" style="179" customWidth="1"/>
    <col min="3" max="3" width="26.5703125" style="39" customWidth="1"/>
    <col min="4" max="4" width="1" style="179" customWidth="1"/>
    <col min="5" max="5" width="28.42578125" style="40" customWidth="1"/>
    <col min="6" max="6" width="1.42578125" style="40" customWidth="1"/>
    <col min="7" max="7" width="26.5703125" style="40" customWidth="1"/>
    <col min="8" max="8" width="1" style="191" customWidth="1"/>
    <col min="9" max="9" width="28.42578125" style="191" customWidth="1"/>
    <col min="10" max="10" width="2" style="191" customWidth="1"/>
    <col min="11" max="11" width="28.5703125" style="192" customWidth="1"/>
    <col min="12" max="12" width="1.5703125" style="179" customWidth="1"/>
    <col min="13" max="13" width="28.42578125" style="39" bestFit="1" customWidth="1"/>
    <col min="14" max="14" width="0.85546875" style="39" customWidth="1"/>
    <col min="15" max="15" width="28.42578125" style="40" bestFit="1" customWidth="1"/>
    <col min="16" max="16" width="0.85546875" style="40" customWidth="1"/>
    <col min="17" max="17" width="28.42578125" style="40" bestFit="1" customWidth="1"/>
    <col min="18" max="18" width="0.85546875" style="40" customWidth="1"/>
    <col min="19" max="19" width="27.140625" style="40" customWidth="1"/>
    <col min="20" max="20" width="1.42578125" style="40" customWidth="1"/>
    <col min="21" max="21" width="29.85546875" style="192" customWidth="1"/>
    <col min="22" max="22" width="9.140625" style="179"/>
    <col min="23" max="23" width="55.7109375" style="179" bestFit="1" customWidth="1"/>
    <col min="24" max="24" width="21.7109375" style="179" bestFit="1" customWidth="1"/>
    <col min="25" max="25" width="22.140625" style="179" customWidth="1"/>
    <col min="26" max="26" width="54.140625" style="179" bestFit="1" customWidth="1"/>
    <col min="27" max="27" width="21.7109375" style="179" bestFit="1" customWidth="1"/>
    <col min="28" max="28" width="51.85546875" style="179" bestFit="1" customWidth="1"/>
    <col min="29" max="29" width="21.7109375" style="179" bestFit="1" customWidth="1"/>
    <col min="30" max="30" width="18.85546875" style="179" bestFit="1" customWidth="1"/>
    <col min="31" max="16384" width="9.140625" style="179"/>
  </cols>
  <sheetData>
    <row r="1" spans="1:30" ht="27.75">
      <c r="A1" s="299" t="s">
        <v>86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</row>
    <row r="2" spans="1:30" ht="27.75">
      <c r="A2" s="299" t="s">
        <v>52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</row>
    <row r="3" spans="1:30" ht="27.75">
      <c r="A3" s="299" t="str">
        <f>' سهام'!A3:W3</f>
        <v>برای ماه منتهی به 1403/07/30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</row>
    <row r="5" spans="1:30" s="180" customFormat="1" ht="24.75">
      <c r="A5" s="275" t="s">
        <v>25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</row>
    <row r="6" spans="1:30" s="180" customFormat="1" ht="9.75" customHeight="1">
      <c r="C6" s="32"/>
      <c r="E6" s="35"/>
      <c r="F6" s="35"/>
      <c r="G6" s="35"/>
      <c r="H6" s="181"/>
      <c r="I6" s="181"/>
      <c r="J6" s="181"/>
      <c r="K6" s="182"/>
      <c r="M6" s="32"/>
      <c r="N6" s="32"/>
      <c r="O6" s="35"/>
      <c r="P6" s="35"/>
      <c r="Q6" s="35"/>
      <c r="R6" s="35"/>
      <c r="S6" s="35"/>
      <c r="T6" s="35"/>
      <c r="U6" s="182"/>
    </row>
    <row r="7" spans="1:30" s="180" customFormat="1" ht="27" customHeight="1" thickBot="1">
      <c r="A7" s="183"/>
      <c r="B7" s="184"/>
      <c r="C7" s="299" t="s">
        <v>174</v>
      </c>
      <c r="D7" s="299"/>
      <c r="E7" s="299"/>
      <c r="F7" s="299"/>
      <c r="G7" s="299"/>
      <c r="H7" s="299"/>
      <c r="I7" s="299"/>
      <c r="J7" s="299"/>
      <c r="K7" s="299"/>
      <c r="L7" s="184"/>
      <c r="M7" s="299" t="s">
        <v>175</v>
      </c>
      <c r="N7" s="299"/>
      <c r="O7" s="299"/>
      <c r="P7" s="299"/>
      <c r="Q7" s="299"/>
      <c r="R7" s="299"/>
      <c r="S7" s="299"/>
      <c r="T7" s="299"/>
      <c r="U7" s="299"/>
    </row>
    <row r="8" spans="1:30" s="185" customFormat="1" ht="24.75" customHeight="1">
      <c r="A8" s="300" t="s">
        <v>21</v>
      </c>
      <c r="B8" s="300"/>
      <c r="C8" s="306" t="s">
        <v>9</v>
      </c>
      <c r="D8" s="302"/>
      <c r="E8" s="308" t="s">
        <v>10</v>
      </c>
      <c r="F8" s="303"/>
      <c r="G8" s="308" t="s">
        <v>11</v>
      </c>
      <c r="H8" s="315"/>
      <c r="I8" s="310" t="s">
        <v>2</v>
      </c>
      <c r="J8" s="310"/>
      <c r="K8" s="310"/>
      <c r="L8" s="300"/>
      <c r="M8" s="306" t="s">
        <v>9</v>
      </c>
      <c r="N8" s="312"/>
      <c r="O8" s="308" t="s">
        <v>10</v>
      </c>
      <c r="P8" s="303"/>
      <c r="Q8" s="308" t="s">
        <v>11</v>
      </c>
      <c r="R8" s="303"/>
      <c r="S8" s="310" t="s">
        <v>2</v>
      </c>
      <c r="T8" s="310"/>
      <c r="U8" s="310"/>
    </row>
    <row r="9" spans="1:30" s="185" customFormat="1" ht="6" customHeight="1" thickBot="1">
      <c r="A9" s="300"/>
      <c r="B9" s="300"/>
      <c r="C9" s="307"/>
      <c r="D9" s="300"/>
      <c r="E9" s="309"/>
      <c r="F9" s="304"/>
      <c r="G9" s="309"/>
      <c r="H9" s="316"/>
      <c r="I9" s="311"/>
      <c r="J9" s="311"/>
      <c r="K9" s="311"/>
      <c r="L9" s="300"/>
      <c r="M9" s="307"/>
      <c r="N9" s="313"/>
      <c r="O9" s="309"/>
      <c r="P9" s="304"/>
      <c r="Q9" s="309"/>
      <c r="R9" s="304"/>
      <c r="S9" s="311"/>
      <c r="T9" s="311"/>
      <c r="U9" s="311"/>
    </row>
    <row r="10" spans="1:30" s="185" customFormat="1" ht="42.75" customHeight="1" thickBot="1">
      <c r="A10" s="301"/>
      <c r="B10" s="300"/>
      <c r="C10" s="36" t="s">
        <v>56</v>
      </c>
      <c r="D10" s="300"/>
      <c r="E10" s="37" t="s">
        <v>57</v>
      </c>
      <c r="F10" s="305"/>
      <c r="G10" s="37" t="s">
        <v>58</v>
      </c>
      <c r="H10" s="316"/>
      <c r="I10" s="186" t="s">
        <v>6</v>
      </c>
      <c r="J10" s="186"/>
      <c r="K10" s="187" t="s">
        <v>16</v>
      </c>
      <c r="L10" s="300"/>
      <c r="M10" s="36" t="s">
        <v>56</v>
      </c>
      <c r="N10" s="314"/>
      <c r="O10" s="37" t="s">
        <v>57</v>
      </c>
      <c r="P10" s="305"/>
      <c r="Q10" s="37" t="s">
        <v>58</v>
      </c>
      <c r="R10" s="305"/>
      <c r="S10" s="38" t="s">
        <v>6</v>
      </c>
      <c r="T10" s="38"/>
      <c r="U10" s="187" t="s">
        <v>16</v>
      </c>
    </row>
    <row r="11" spans="1:30" s="139" customFormat="1" ht="30.75">
      <c r="A11" s="188" t="s">
        <v>139</v>
      </c>
      <c r="C11" s="4">
        <f>IFERROR(VLOOKUP(A11,'درآمد سود سهام'!$A$8:$S$110,13,0),0)</f>
        <v>0</v>
      </c>
      <c r="D11" s="4"/>
      <c r="E11" s="4">
        <f>IFERROR(VLOOKUP(A11,'درآمد ناشی از تغییر قیمت  '!$A$7:$Q$109,9,0),0)</f>
        <v>-369437877</v>
      </c>
      <c r="F11" s="4"/>
      <c r="G11" s="4">
        <f>IFERROR(VLOOKUP(A11,'درآمد ناشی ازفروش'!$A$7:$I$120,9,0),0)</f>
        <v>-6430552</v>
      </c>
      <c r="H11" s="4"/>
      <c r="I11" s="4">
        <f>G11+E11+C11</f>
        <v>-375868429</v>
      </c>
      <c r="K11" s="122">
        <f>I11/399917738</f>
        <v>-0.93986436030501852</v>
      </c>
      <c r="M11" s="4">
        <f>IFERROR(VLOOKUP(A11,'درآمد سود سهام'!$A$8:$S$110,19,0),0)</f>
        <v>143257576</v>
      </c>
      <c r="N11" s="4"/>
      <c r="O11" s="4">
        <f>IFERROR(VLOOKUP(A11,'درآمد ناشی از تغییر قیمت  '!$A$7:$Q$109,17,0),0)</f>
        <v>-517287821</v>
      </c>
      <c r="P11" s="4"/>
      <c r="Q11" s="4">
        <f>IFERROR(VLOOKUP(A11,'درآمد ناشی ازفروش'!$A$7:$Q$120,17,0),0)</f>
        <v>-13573681</v>
      </c>
      <c r="R11" s="4"/>
      <c r="S11" s="4">
        <f>Q11+O11+M11</f>
        <v>-387603926</v>
      </c>
      <c r="T11" s="144"/>
      <c r="U11" s="122">
        <f>S11/درآمدها!$J$4</f>
        <v>-1.6660335095670775E-2</v>
      </c>
      <c r="V11" s="145"/>
      <c r="W11" s="145"/>
      <c r="X11" s="145"/>
      <c r="Y11" s="145"/>
      <c r="Z11" s="145"/>
      <c r="AA11" s="145"/>
      <c r="AB11" s="145"/>
      <c r="AC11" s="145"/>
      <c r="AD11" s="145"/>
    </row>
    <row r="12" spans="1:30" s="139" customFormat="1" ht="30.75">
      <c r="A12" s="188" t="s">
        <v>166</v>
      </c>
      <c r="C12" s="4">
        <f>IFERROR(VLOOKUP(A12,'درآمد سود سهام'!$A$8:$S$110,13,0),0)</f>
        <v>0</v>
      </c>
      <c r="D12" s="4"/>
      <c r="E12" s="4">
        <f>IFERROR(VLOOKUP(A12,'درآمد ناشی از تغییر قیمت  '!$A$7:$Q$109,9,0),0)</f>
        <v>-87937543</v>
      </c>
      <c r="F12" s="4"/>
      <c r="G12" s="4">
        <f>IFERROR(VLOOKUP(A12,'درآمد ناشی ازفروش'!$A$7:$I$120,9,0),0)</f>
        <v>-379048</v>
      </c>
      <c r="H12" s="4"/>
      <c r="I12" s="4">
        <f t="shared" ref="I12:I45" si="0">G12+E12+C12</f>
        <v>-88316591</v>
      </c>
      <c r="K12" s="122">
        <f t="shared" ref="K12:K45" si="1">I12/399917738</f>
        <v>-0.22083689371137621</v>
      </c>
      <c r="M12" s="4">
        <f>IFERROR(VLOOKUP(A12,'درآمد سود سهام'!$A$8:$S$110,19,0),0)</f>
        <v>0</v>
      </c>
      <c r="N12" s="4"/>
      <c r="O12" s="4">
        <f>IFERROR(VLOOKUP(A12,'درآمد ناشی از تغییر قیمت  '!$A$7:$Q$109,17,0),0)</f>
        <v>-87937543</v>
      </c>
      <c r="P12" s="4"/>
      <c r="Q12" s="4">
        <f>IFERROR(VLOOKUP(A12,'درآمد ناشی ازفروش'!$A$7:$Q$120,17,0),0)</f>
        <v>-379048</v>
      </c>
      <c r="R12" s="4"/>
      <c r="S12" s="4">
        <f t="shared" ref="S12:S45" si="2">Q12+O12+M12</f>
        <v>-88316591</v>
      </c>
      <c r="T12" s="144"/>
      <c r="U12" s="122">
        <f>S12/درآمدها!$J$4</f>
        <v>-3.7961019016285753E-3</v>
      </c>
      <c r="V12" s="145"/>
      <c r="W12" s="145"/>
      <c r="X12" s="145"/>
      <c r="Y12" s="145"/>
      <c r="Z12" s="145"/>
      <c r="AA12" s="145"/>
      <c r="AB12" s="145"/>
      <c r="AC12" s="145"/>
      <c r="AD12" s="145"/>
    </row>
    <row r="13" spans="1:30" s="139" customFormat="1" ht="30.75">
      <c r="A13" s="188" t="s">
        <v>88</v>
      </c>
      <c r="C13" s="4">
        <f>IFERROR(VLOOKUP(A13,'درآمد سود سهام'!$A$8:$S$110,13,0),0)</f>
        <v>0</v>
      </c>
      <c r="D13" s="4"/>
      <c r="E13" s="4">
        <f>IFERROR(VLOOKUP(A13,'درآمد ناشی از تغییر قیمت  '!$A$7:$Q$109,9,0),0)</f>
        <v>0</v>
      </c>
      <c r="F13" s="4"/>
      <c r="G13" s="4">
        <f>IFERROR(VLOOKUP(A13,'درآمد ناشی ازفروش'!$A$7:$I$120,9,0),0)</f>
        <v>0</v>
      </c>
      <c r="H13" s="4"/>
      <c r="I13" s="4">
        <f t="shared" si="0"/>
        <v>0</v>
      </c>
      <c r="K13" s="122">
        <f t="shared" si="1"/>
        <v>0</v>
      </c>
      <c r="M13" s="4">
        <f>IFERROR(VLOOKUP(A13,'درآمد سود سهام'!$A$8:$S$110,19,0),0)</f>
        <v>0</v>
      </c>
      <c r="N13" s="4"/>
      <c r="O13" s="4">
        <f>IFERROR(VLOOKUP(A13,'درآمد ناشی از تغییر قیمت  '!$A$7:$Q$109,17,0),0)</f>
        <v>0</v>
      </c>
      <c r="P13" s="4"/>
      <c r="Q13" s="4">
        <f>IFERROR(VLOOKUP(A13,'درآمد ناشی ازفروش'!$A$7:$Q$120,17,0),0)</f>
        <v>1167277212</v>
      </c>
      <c r="R13" s="4"/>
      <c r="S13" s="4">
        <f t="shared" si="2"/>
        <v>1167277212</v>
      </c>
      <c r="T13" s="144"/>
      <c r="U13" s="122">
        <f>S13/درآمدها!$J$4</f>
        <v>5.0172942524478799E-2</v>
      </c>
      <c r="V13" s="145"/>
      <c r="W13" s="145"/>
      <c r="X13" s="145"/>
      <c r="Y13" s="145"/>
      <c r="Z13" s="145"/>
      <c r="AA13" s="145"/>
      <c r="AB13" s="145"/>
      <c r="AC13" s="145"/>
      <c r="AD13" s="145"/>
    </row>
    <row r="14" spans="1:30" s="139" customFormat="1" ht="30.75">
      <c r="A14" s="188" t="s">
        <v>122</v>
      </c>
      <c r="C14" s="4">
        <f>IFERROR(VLOOKUP(A14,'درآمد سود سهام'!$A$8:$S$110,13,0),0)</f>
        <v>0</v>
      </c>
      <c r="D14" s="4"/>
      <c r="E14" s="4">
        <f>IFERROR(VLOOKUP(A14,'درآمد ناشی از تغییر قیمت  '!$A$7:$Q$109,9,0),0)</f>
        <v>-113936700</v>
      </c>
      <c r="F14" s="4"/>
      <c r="G14" s="4">
        <f>IFERROR(VLOOKUP(A14,'درآمد ناشی ازفروش'!$A$7:$I$120,9,0),0)</f>
        <v>122165630</v>
      </c>
      <c r="H14" s="4"/>
      <c r="I14" s="4">
        <f t="shared" si="0"/>
        <v>8228930</v>
      </c>
      <c r="K14" s="122">
        <f t="shared" si="1"/>
        <v>2.0576556671762333E-2</v>
      </c>
      <c r="M14" s="4">
        <f>IFERROR(VLOOKUP(A14,'درآمد سود سهام'!$A$8:$S$110,19,0),0)</f>
        <v>120039100</v>
      </c>
      <c r="N14" s="4"/>
      <c r="O14" s="4">
        <f>IFERROR(VLOOKUP(A14,'درآمد ناشی از تغییر قیمت  '!$A$7:$Q$109,17,0),0)</f>
        <v>282430735</v>
      </c>
      <c r="P14" s="4"/>
      <c r="Q14" s="4">
        <f>IFERROR(VLOOKUP(A14,'درآمد ناشی ازفروش'!$A$7:$Q$120,17,0),0)</f>
        <v>152573368</v>
      </c>
      <c r="R14" s="4"/>
      <c r="S14" s="4">
        <f t="shared" si="2"/>
        <v>555043203</v>
      </c>
      <c r="T14" s="144"/>
      <c r="U14" s="122">
        <f>S14/درآمدها!$J$4</f>
        <v>2.3857358334792557E-2</v>
      </c>
      <c r="V14" s="145"/>
      <c r="W14" s="145"/>
      <c r="X14" s="145"/>
      <c r="Y14" s="145"/>
      <c r="Z14" s="145"/>
      <c r="AA14" s="145"/>
      <c r="AB14" s="145"/>
      <c r="AC14" s="145"/>
      <c r="AD14" s="145"/>
    </row>
    <row r="15" spans="1:30" s="139" customFormat="1" ht="30.75">
      <c r="A15" s="188" t="s">
        <v>98</v>
      </c>
      <c r="C15" s="4">
        <f>IFERROR(VLOOKUP(A15,'درآمد سود سهام'!$A$8:$S$110,13,0),0)</f>
        <v>0</v>
      </c>
      <c r="D15" s="4"/>
      <c r="E15" s="4">
        <f>IFERROR(VLOOKUP(A15,'درآمد ناشی از تغییر قیمت  '!$A$7:$Q$109,9,0),0)</f>
        <v>-1030581</v>
      </c>
      <c r="F15" s="4"/>
      <c r="G15" s="4">
        <f>IFERROR(VLOOKUP(A15,'درآمد ناشی ازفروش'!$A$7:$I$120,9,0),0)</f>
        <v>0</v>
      </c>
      <c r="H15" s="4"/>
      <c r="I15" s="4">
        <f t="shared" si="0"/>
        <v>-1030581</v>
      </c>
      <c r="K15" s="122">
        <f t="shared" si="1"/>
        <v>-2.5769824693297298E-3</v>
      </c>
      <c r="M15" s="4">
        <f>IFERROR(VLOOKUP(A15,'درآمد سود سهام'!$A$8:$S$110,19,0),0)</f>
        <v>245526400</v>
      </c>
      <c r="N15" s="4"/>
      <c r="O15" s="4">
        <f>IFERROR(VLOOKUP(A15,'درآمد ناشی از تغییر قیمت  '!$A$7:$Q$109,17,0),0)</f>
        <v>4258783</v>
      </c>
      <c r="P15" s="4"/>
      <c r="Q15" s="4">
        <f>IFERROR(VLOOKUP(A15,'درآمد ناشی ازفروش'!$A$7:$Q$120,17,0),0)</f>
        <v>541095801</v>
      </c>
      <c r="R15" s="4"/>
      <c r="S15" s="4">
        <f t="shared" si="2"/>
        <v>790880984</v>
      </c>
      <c r="T15" s="144"/>
      <c r="U15" s="122">
        <f>S15/درآمدها!$J$4</f>
        <v>3.3994346626493754E-2</v>
      </c>
      <c r="V15" s="145"/>
      <c r="W15" s="145"/>
      <c r="X15" s="145"/>
      <c r="Y15" s="145"/>
      <c r="Z15" s="145"/>
      <c r="AA15" s="145"/>
      <c r="AB15" s="145"/>
      <c r="AC15" s="145"/>
      <c r="AD15" s="145"/>
    </row>
    <row r="16" spans="1:30" s="139" customFormat="1" ht="30.75">
      <c r="A16" s="188" t="s">
        <v>168</v>
      </c>
      <c r="C16" s="4">
        <f>IFERROR(VLOOKUP(A16,'درآمد سود سهام'!$A$8:$S$110,13,0),0)</f>
        <v>0</v>
      </c>
      <c r="D16" s="4"/>
      <c r="E16" s="4">
        <f>IFERROR(VLOOKUP(A16,'درآمد ناشی از تغییر قیمت  '!$A$7:$Q$109,9,0),0)</f>
        <v>-270816309</v>
      </c>
      <c r="F16" s="4"/>
      <c r="G16" s="4">
        <f>IFERROR(VLOOKUP(A16,'درآمد ناشی ازفروش'!$A$7:$I$120,9,0),0)</f>
        <v>-3707384</v>
      </c>
      <c r="H16" s="4"/>
      <c r="I16" s="4">
        <f t="shared" si="0"/>
        <v>-274523693</v>
      </c>
      <c r="K16" s="122">
        <f t="shared" si="1"/>
        <v>-0.68645040445792882</v>
      </c>
      <c r="M16" s="4">
        <f>IFERROR(VLOOKUP(A16,'درآمد سود سهام'!$A$8:$S$110,19,0),0)</f>
        <v>0</v>
      </c>
      <c r="N16" s="4"/>
      <c r="O16" s="4">
        <f>IFERROR(VLOOKUP(A16,'درآمد ناشی از تغییر قیمت  '!$A$7:$Q$109,17,0),0)</f>
        <v>-270816309</v>
      </c>
      <c r="P16" s="4"/>
      <c r="Q16" s="4">
        <f>IFERROR(VLOOKUP(A16,'درآمد ناشی ازفروش'!$A$7:$Q$120,17,0),0)</f>
        <v>-3707384</v>
      </c>
      <c r="R16" s="4"/>
      <c r="S16" s="4">
        <f t="shared" si="2"/>
        <v>-274523693</v>
      </c>
      <c r="T16" s="144"/>
      <c r="U16" s="122">
        <f>S16/درآمدها!$J$4</f>
        <v>-1.1799820410180906E-2</v>
      </c>
      <c r="V16" s="145"/>
      <c r="W16" s="145"/>
      <c r="X16" s="145"/>
      <c r="Y16" s="145"/>
      <c r="Z16" s="145"/>
      <c r="AA16" s="145"/>
      <c r="AB16" s="145"/>
      <c r="AC16" s="145"/>
      <c r="AD16" s="145"/>
    </row>
    <row r="17" spans="1:30" s="139" customFormat="1" ht="30.75">
      <c r="A17" s="188" t="s">
        <v>164</v>
      </c>
      <c r="C17" s="4">
        <f>IFERROR(VLOOKUP(A17,'درآمد سود سهام'!$A$8:$S$110,13,0),0)</f>
        <v>0</v>
      </c>
      <c r="D17" s="4"/>
      <c r="E17" s="4">
        <f>IFERROR(VLOOKUP(A17,'درآمد ناشی از تغییر قیمت  '!$A$7:$Q$109,9,0),0)</f>
        <v>-196914190</v>
      </c>
      <c r="F17" s="4"/>
      <c r="G17" s="4">
        <f>IFERROR(VLOOKUP(A17,'درآمد ناشی ازفروش'!$A$7:$I$120,9,0),0)</f>
        <v>-2053689</v>
      </c>
      <c r="H17" s="4"/>
      <c r="I17" s="4">
        <f t="shared" si="0"/>
        <v>-198967879</v>
      </c>
      <c r="K17" s="122">
        <f t="shared" si="1"/>
        <v>-0.49752201539007507</v>
      </c>
      <c r="M17" s="4">
        <f>IFERROR(VLOOKUP(A17,'درآمد سود سهام'!$A$8:$S$110,19,0),0)</f>
        <v>0</v>
      </c>
      <c r="N17" s="4"/>
      <c r="O17" s="4">
        <f>IFERROR(VLOOKUP(A17,'درآمد ناشی از تغییر قیمت  '!$A$7:$Q$109,17,0),0)</f>
        <v>-159817110</v>
      </c>
      <c r="P17" s="4"/>
      <c r="Q17" s="4">
        <f>IFERROR(VLOOKUP(A17,'درآمد ناشی ازفروش'!$A$7:$Q$120,17,0),0)</f>
        <v>-2053689</v>
      </c>
      <c r="R17" s="4"/>
      <c r="S17" s="4">
        <f t="shared" si="2"/>
        <v>-161870799</v>
      </c>
      <c r="T17" s="144"/>
      <c r="U17" s="122">
        <f>S17/درآمدها!$J$4</f>
        <v>-6.9576739879151006E-3</v>
      </c>
      <c r="V17" s="145"/>
      <c r="W17" s="145"/>
      <c r="X17" s="145"/>
      <c r="Y17" s="145"/>
      <c r="Z17" s="145"/>
      <c r="AA17" s="145"/>
      <c r="AB17" s="145"/>
      <c r="AC17" s="145"/>
      <c r="AD17" s="145"/>
    </row>
    <row r="18" spans="1:30" s="139" customFormat="1" ht="30.75">
      <c r="A18" s="188" t="s">
        <v>163</v>
      </c>
      <c r="C18" s="4">
        <f>IFERROR(VLOOKUP(A18,'درآمد سود سهام'!$A$8:$S$110,13,0),0)</f>
        <v>0</v>
      </c>
      <c r="D18" s="4"/>
      <c r="E18" s="4">
        <f>IFERROR(VLOOKUP(A18,'درآمد ناشی از تغییر قیمت  '!$A$7:$Q$109,9,0),0)</f>
        <v>-19372776</v>
      </c>
      <c r="F18" s="4"/>
      <c r="G18" s="4">
        <f>IFERROR(VLOOKUP(A18,'درآمد ناشی ازفروش'!$A$7:$I$120,9,0),0)</f>
        <v>1038074</v>
      </c>
      <c r="H18" s="4"/>
      <c r="I18" s="4">
        <f t="shared" si="0"/>
        <v>-18334702</v>
      </c>
      <c r="K18" s="122">
        <f t="shared" si="1"/>
        <v>-4.5846183496867046E-2</v>
      </c>
      <c r="M18" s="4">
        <f>IFERROR(VLOOKUP(A18,'درآمد سود سهام'!$A$8:$S$110,19,0),0)</f>
        <v>0</v>
      </c>
      <c r="N18" s="4"/>
      <c r="O18" s="4">
        <f>IFERROR(VLOOKUP(A18,'درآمد ناشی از تغییر قیمت  '!$A$7:$Q$109,17,0),0)</f>
        <v>42784828</v>
      </c>
      <c r="P18" s="4"/>
      <c r="Q18" s="4">
        <f>IFERROR(VLOOKUP(A18,'درآمد ناشی ازفروش'!$A$7:$Q$120,17,0),0)</f>
        <v>1038074</v>
      </c>
      <c r="R18" s="4"/>
      <c r="S18" s="4">
        <f t="shared" si="2"/>
        <v>43822902</v>
      </c>
      <c r="T18" s="144"/>
      <c r="U18" s="122">
        <f>S18/درآمدها!$J$4</f>
        <v>1.883634770471187E-3</v>
      </c>
      <c r="V18" s="145"/>
      <c r="W18" s="145"/>
      <c r="X18" s="145"/>
      <c r="Y18" s="145"/>
      <c r="Z18" s="145"/>
      <c r="AA18" s="145"/>
      <c r="AB18" s="145"/>
      <c r="AC18" s="145"/>
      <c r="AD18" s="145"/>
    </row>
    <row r="19" spans="1:30" s="139" customFormat="1" ht="30.75">
      <c r="A19" s="188" t="s">
        <v>104</v>
      </c>
      <c r="C19" s="4">
        <f>IFERROR(VLOOKUP(A19,'درآمد سود سهام'!$A$8:$S$110,13,0),0)</f>
        <v>0</v>
      </c>
      <c r="D19" s="4"/>
      <c r="E19" s="4">
        <f>IFERROR(VLOOKUP(A19,'درآمد ناشی از تغییر قیمت  '!$A$7:$Q$109,9,0),0)</f>
        <v>-58408706</v>
      </c>
      <c r="F19" s="4"/>
      <c r="G19" s="4">
        <f>IFERROR(VLOOKUP(A19,'درآمد ناشی ازفروش'!$A$7:$I$120,9,0),0)</f>
        <v>43171068</v>
      </c>
      <c r="H19" s="4"/>
      <c r="I19" s="4">
        <f t="shared" si="0"/>
        <v>-15237638</v>
      </c>
      <c r="K19" s="122">
        <f t="shared" si="1"/>
        <v>-3.8101930852589491E-2</v>
      </c>
      <c r="M19" s="4">
        <f>IFERROR(VLOOKUP(A19,'درآمد سود سهام'!$A$8:$S$110,19,0),0)</f>
        <v>161146120</v>
      </c>
      <c r="N19" s="4"/>
      <c r="O19" s="4">
        <f>IFERROR(VLOOKUP(A19,'درآمد ناشی از تغییر قیمت  '!$A$7:$Q$109,17,0),0)</f>
        <v>67993315</v>
      </c>
      <c r="P19" s="4"/>
      <c r="Q19" s="4">
        <f>IFERROR(VLOOKUP(A19,'درآمد ناشی ازفروش'!$A$7:$Q$120,17,0),0)</f>
        <v>107580465</v>
      </c>
      <c r="R19" s="4"/>
      <c r="S19" s="4">
        <f t="shared" si="2"/>
        <v>336719900</v>
      </c>
      <c r="T19" s="144"/>
      <c r="U19" s="122">
        <f>S19/درآمدها!$J$4</f>
        <v>1.4473192842171453E-2</v>
      </c>
      <c r="V19" s="145"/>
      <c r="W19" s="145"/>
      <c r="X19" s="145"/>
      <c r="Y19" s="145"/>
      <c r="Z19" s="145"/>
      <c r="AA19" s="145"/>
      <c r="AB19" s="145"/>
      <c r="AC19" s="145"/>
      <c r="AD19" s="145"/>
    </row>
    <row r="20" spans="1:30" s="139" customFormat="1" ht="30.75">
      <c r="A20" s="188" t="s">
        <v>106</v>
      </c>
      <c r="C20" s="4">
        <f>IFERROR(VLOOKUP(A20,'درآمد سود سهام'!$A$8:$S$110,13,0),0)</f>
        <v>0</v>
      </c>
      <c r="D20" s="4"/>
      <c r="E20" s="4">
        <f>IFERROR(VLOOKUP(A20,'درآمد ناشی از تغییر قیمت  '!$A$7:$Q$109,9,0),0)</f>
        <v>0</v>
      </c>
      <c r="F20" s="4"/>
      <c r="G20" s="4">
        <f>IFERROR(VLOOKUP(A20,'درآمد ناشی ازفروش'!$A$7:$I$120,9,0),0)</f>
        <v>0</v>
      </c>
      <c r="H20" s="4"/>
      <c r="I20" s="4">
        <f t="shared" si="0"/>
        <v>0</v>
      </c>
      <c r="K20" s="122">
        <f t="shared" si="1"/>
        <v>0</v>
      </c>
      <c r="M20" s="4">
        <f>IFERROR(VLOOKUP(A20,'درآمد سود سهام'!$A$8:$S$110,19,0),0)</f>
        <v>0</v>
      </c>
      <c r="N20" s="4"/>
      <c r="O20" s="4">
        <f>IFERROR(VLOOKUP(A20,'درآمد ناشی از تغییر قیمت  '!$A$7:$Q$109,17,0),0)</f>
        <v>0</v>
      </c>
      <c r="P20" s="4"/>
      <c r="Q20" s="4">
        <f>IFERROR(VLOOKUP(A20,'درآمد ناشی ازفروش'!$A$7:$Q$120,17,0),0)</f>
        <v>607602345</v>
      </c>
      <c r="R20" s="4"/>
      <c r="S20" s="4">
        <f t="shared" si="2"/>
        <v>607602345</v>
      </c>
      <c r="T20" s="144"/>
      <c r="U20" s="122">
        <f>S20/درآمدها!$J$4</f>
        <v>2.6116501907195236E-2</v>
      </c>
      <c r="V20" s="145"/>
      <c r="W20" s="145"/>
      <c r="X20" s="145"/>
      <c r="Y20" s="145"/>
      <c r="Z20" s="145"/>
      <c r="AA20" s="145"/>
      <c r="AB20" s="145"/>
      <c r="AC20" s="145"/>
      <c r="AD20" s="145"/>
    </row>
    <row r="21" spans="1:30" s="139" customFormat="1" ht="30.75">
      <c r="A21" s="188" t="s">
        <v>91</v>
      </c>
      <c r="C21" s="4">
        <f>IFERROR(VLOOKUP(A21,'درآمد سود سهام'!$A$8:$S$110,13,0),0)</f>
        <v>0</v>
      </c>
      <c r="D21" s="4"/>
      <c r="E21" s="4">
        <f>IFERROR(VLOOKUP(A21,'درآمد ناشی از تغییر قیمت  '!$A$7:$Q$109,9,0),0)</f>
        <v>0</v>
      </c>
      <c r="F21" s="4"/>
      <c r="G21" s="4">
        <f>IFERROR(VLOOKUP(A21,'درآمد ناشی ازفروش'!$A$7:$I$120,9,0),0)</f>
        <v>0</v>
      </c>
      <c r="H21" s="4"/>
      <c r="I21" s="4">
        <f t="shared" si="0"/>
        <v>0</v>
      </c>
      <c r="K21" s="122">
        <f t="shared" si="1"/>
        <v>0</v>
      </c>
      <c r="M21" s="4">
        <f>IFERROR(VLOOKUP(A21,'درآمد سود سهام'!$A$8:$S$110,19,0),0)</f>
        <v>355087340</v>
      </c>
      <c r="N21" s="4"/>
      <c r="O21" s="4">
        <f>IFERROR(VLOOKUP(A21,'درآمد ناشی از تغییر قیمت  '!$A$7:$Q$109,17,0),0)</f>
        <v>0</v>
      </c>
      <c r="P21" s="4"/>
      <c r="Q21" s="4">
        <f>IFERROR(VLOOKUP(A21,'درآمد ناشی ازفروش'!$A$7:$Q$120,17,0),0)</f>
        <v>488085302</v>
      </c>
      <c r="R21" s="4"/>
      <c r="S21" s="4">
        <f t="shared" si="2"/>
        <v>843172642</v>
      </c>
      <c r="T21" s="144"/>
      <c r="U21" s="122">
        <f>S21/درآمدها!$J$4</f>
        <v>3.6241992964803071E-2</v>
      </c>
      <c r="V21" s="145"/>
      <c r="W21" s="145"/>
      <c r="X21" s="145"/>
      <c r="Y21" s="145"/>
      <c r="Z21" s="145"/>
      <c r="AA21" s="145"/>
      <c r="AB21" s="145"/>
      <c r="AC21" s="145"/>
      <c r="AD21" s="145"/>
    </row>
    <row r="22" spans="1:30" s="139" customFormat="1" ht="30.75">
      <c r="A22" s="188" t="s">
        <v>90</v>
      </c>
      <c r="C22" s="4">
        <f>IFERROR(VLOOKUP(A22,'درآمد سود سهام'!$A$8:$S$110,13,0),0)</f>
        <v>0</v>
      </c>
      <c r="D22" s="4"/>
      <c r="E22" s="4">
        <f>IFERROR(VLOOKUP(A22,'درآمد ناشی از تغییر قیمت  '!$A$7:$Q$109,9,0),0)</f>
        <v>-33659291</v>
      </c>
      <c r="F22" s="4"/>
      <c r="G22" s="4">
        <f>IFERROR(VLOOKUP(A22,'درآمد ناشی ازفروش'!$A$7:$I$120,9,0),0)</f>
        <v>-66679677</v>
      </c>
      <c r="H22" s="4"/>
      <c r="I22" s="4">
        <f t="shared" si="0"/>
        <v>-100338968</v>
      </c>
      <c r="K22" s="122">
        <f t="shared" si="1"/>
        <v>-0.25089901863767794</v>
      </c>
      <c r="M22" s="4">
        <f>IFERROR(VLOOKUP(A22,'درآمد سود سهام'!$A$8:$S$110,19,0),0)</f>
        <v>608101680</v>
      </c>
      <c r="N22" s="4"/>
      <c r="O22" s="4">
        <f>IFERROR(VLOOKUP(A22,'درآمد ناشی از تغییر قیمت  '!$A$7:$Q$109,17,0),0)</f>
        <v>-97725233</v>
      </c>
      <c r="P22" s="4"/>
      <c r="Q22" s="4">
        <f>IFERROR(VLOOKUP(A22,'درآمد ناشی ازفروش'!$A$7:$Q$120,17,0),0)</f>
        <v>337841412</v>
      </c>
      <c r="R22" s="4"/>
      <c r="S22" s="4">
        <f t="shared" si="2"/>
        <v>848217859</v>
      </c>
      <c r="T22" s="144"/>
      <c r="U22" s="122">
        <f>S22/درآمدها!$J$4</f>
        <v>3.6458850948461304E-2</v>
      </c>
      <c r="V22" s="145"/>
      <c r="W22" s="145"/>
      <c r="X22" s="145"/>
      <c r="Y22" s="145"/>
      <c r="Z22" s="145"/>
      <c r="AA22" s="145"/>
      <c r="AB22" s="145"/>
      <c r="AC22" s="145"/>
      <c r="AD22" s="145"/>
    </row>
    <row r="23" spans="1:30" s="139" customFormat="1" ht="30.75">
      <c r="A23" s="188" t="s">
        <v>92</v>
      </c>
      <c r="C23" s="4">
        <f>IFERROR(VLOOKUP(A23,'درآمد سود سهام'!$A$8:$S$110,13,0),0)</f>
        <v>950539688</v>
      </c>
      <c r="D23" s="4"/>
      <c r="E23" s="4">
        <f>IFERROR(VLOOKUP(A23,'درآمد ناشی از تغییر قیمت  '!$A$7:$Q$109,9,0),0)</f>
        <v>-157407495</v>
      </c>
      <c r="F23" s="4"/>
      <c r="G23" s="4">
        <f>IFERROR(VLOOKUP(A23,'درآمد ناشی ازفروش'!$A$7:$I$120,9,0),0)</f>
        <v>-343144073</v>
      </c>
      <c r="H23" s="4"/>
      <c r="I23" s="4">
        <f t="shared" si="0"/>
        <v>449988120</v>
      </c>
      <c r="K23" s="122">
        <f t="shared" si="1"/>
        <v>1.1252017033563038</v>
      </c>
      <c r="M23" s="4">
        <f>IFERROR(VLOOKUP(A23,'درآمد سود سهام'!$A$8:$S$110,19,0),0)</f>
        <v>950539688</v>
      </c>
      <c r="N23" s="4"/>
      <c r="O23" s="4">
        <f>IFERROR(VLOOKUP(A23,'درآمد ناشی از تغییر قیمت  '!$A$7:$Q$109,17,0),0)</f>
        <v>-600596984</v>
      </c>
      <c r="P23" s="4"/>
      <c r="Q23" s="4">
        <f>IFERROR(VLOOKUP(A23,'درآمد ناشی ازفروش'!$A$7:$Q$120,17,0),0)</f>
        <v>-884670775</v>
      </c>
      <c r="R23" s="4"/>
      <c r="S23" s="4">
        <f t="shared" si="2"/>
        <v>-534728071</v>
      </c>
      <c r="T23" s="144"/>
      <c r="U23" s="122">
        <f>S23/درآمدها!$J$4</f>
        <v>-2.2984155346046812E-2</v>
      </c>
      <c r="V23" s="145"/>
      <c r="W23" s="145"/>
      <c r="X23" s="145"/>
      <c r="Y23" s="145"/>
      <c r="Z23" s="145"/>
      <c r="AA23" s="145"/>
      <c r="AB23" s="145"/>
      <c r="AC23" s="145"/>
      <c r="AD23" s="145"/>
    </row>
    <row r="24" spans="1:30" s="139" customFormat="1" ht="30.75">
      <c r="A24" s="188" t="s">
        <v>101</v>
      </c>
      <c r="C24" s="4">
        <f>IFERROR(VLOOKUP(A24,'درآمد سود سهام'!$A$8:$S$110,13,0),0)</f>
        <v>0</v>
      </c>
      <c r="D24" s="4"/>
      <c r="E24" s="4">
        <f>IFERROR(VLOOKUP(A24,'درآمد ناشی از تغییر قیمت  '!$A$7:$Q$109,9,0),0)</f>
        <v>-65460220</v>
      </c>
      <c r="F24" s="4"/>
      <c r="G24" s="4">
        <f>IFERROR(VLOOKUP(A24,'درآمد ناشی ازفروش'!$A$7:$I$120,9,0),0)</f>
        <v>98055934</v>
      </c>
      <c r="H24" s="4"/>
      <c r="I24" s="4">
        <f t="shared" si="0"/>
        <v>32595714</v>
      </c>
      <c r="K24" s="122">
        <f t="shared" si="1"/>
        <v>8.1506047126121722E-2</v>
      </c>
      <c r="M24" s="4">
        <f>IFERROR(VLOOKUP(A24,'درآمد سود سهام'!$A$8:$S$110,19,0),0)</f>
        <v>166369390</v>
      </c>
      <c r="N24" s="4"/>
      <c r="O24" s="4">
        <f>IFERROR(VLOOKUP(A24,'درآمد ناشی از تغییر قیمت  '!$A$7:$Q$109,17,0),0)</f>
        <v>186261912</v>
      </c>
      <c r="P24" s="4"/>
      <c r="Q24" s="4">
        <f>IFERROR(VLOOKUP(A24,'درآمد ناشی ازفروش'!$A$7:$Q$120,17,0),0)</f>
        <v>373680645</v>
      </c>
      <c r="R24" s="4"/>
      <c r="S24" s="4">
        <f t="shared" si="2"/>
        <v>726311947</v>
      </c>
      <c r="T24" s="144"/>
      <c r="U24" s="122">
        <f>S24/درآمدها!$J$4</f>
        <v>3.1218983114760998E-2</v>
      </c>
      <c r="V24" s="145"/>
      <c r="W24" s="145"/>
      <c r="X24" s="145"/>
      <c r="Y24" s="145"/>
      <c r="Z24" s="145"/>
      <c r="AA24" s="145"/>
      <c r="AB24" s="145"/>
      <c r="AC24" s="145"/>
      <c r="AD24" s="145"/>
    </row>
    <row r="25" spans="1:30" s="139" customFormat="1" ht="30.75">
      <c r="A25" s="188" t="s">
        <v>93</v>
      </c>
      <c r="C25" s="4">
        <f>IFERROR(VLOOKUP(A25,'درآمد سود سهام'!$A$8:$S$110,13,0),0)</f>
        <v>0</v>
      </c>
      <c r="D25" s="4"/>
      <c r="E25" s="4">
        <f>IFERROR(VLOOKUP(A25,'درآمد ناشی از تغییر قیمت  '!$A$7:$Q$109,9,0),0)</f>
        <v>728556274</v>
      </c>
      <c r="F25" s="4"/>
      <c r="G25" s="4">
        <f>IFERROR(VLOOKUP(A25,'درآمد ناشی ازفروش'!$A$7:$I$120,9,0),0)</f>
        <v>-398245898</v>
      </c>
      <c r="H25" s="4"/>
      <c r="I25" s="4">
        <f t="shared" si="0"/>
        <v>330310376</v>
      </c>
      <c r="K25" s="122">
        <f t="shared" si="1"/>
        <v>0.82594579988347505</v>
      </c>
      <c r="M25" s="4">
        <f>IFERROR(VLOOKUP(A25,'درآمد سود سهام'!$A$8:$S$110,19,0),0)</f>
        <v>1948</v>
      </c>
      <c r="N25" s="4"/>
      <c r="O25" s="4">
        <f>IFERROR(VLOOKUP(A25,'درآمد ناشی از تغییر قیمت  '!$A$7:$Q$109,17,0),0)</f>
        <v>-246702613</v>
      </c>
      <c r="P25" s="4"/>
      <c r="Q25" s="4">
        <f>IFERROR(VLOOKUP(A25,'درآمد ناشی ازفروش'!$A$7:$Q$120,17,0),0)</f>
        <v>-173401997</v>
      </c>
      <c r="R25" s="4"/>
      <c r="S25" s="4">
        <f t="shared" si="2"/>
        <v>-420102662</v>
      </c>
      <c r="T25" s="144"/>
      <c r="U25" s="122">
        <f>S25/درآمدها!$J$4</f>
        <v>-1.8057224537770335E-2</v>
      </c>
      <c r="V25" s="145"/>
      <c r="W25" s="145"/>
      <c r="X25" s="145"/>
      <c r="Y25" s="145"/>
      <c r="Z25" s="145"/>
      <c r="AA25" s="145"/>
      <c r="AB25" s="145"/>
      <c r="AC25" s="145"/>
      <c r="AD25" s="145"/>
    </row>
    <row r="26" spans="1:30" s="139" customFormat="1" ht="30.75">
      <c r="A26" s="188" t="s">
        <v>103</v>
      </c>
      <c r="C26" s="4">
        <f>IFERROR(VLOOKUP(A26,'درآمد سود سهام'!$A$8:$S$110,13,0),0)</f>
        <v>0</v>
      </c>
      <c r="D26" s="4"/>
      <c r="E26" s="4">
        <f>IFERROR(VLOOKUP(A26,'درآمد ناشی از تغییر قیمت  '!$A$7:$Q$109,9,0),0)</f>
        <v>0</v>
      </c>
      <c r="F26" s="4"/>
      <c r="G26" s="4">
        <f>IFERROR(VLOOKUP(A26,'درآمد ناشی ازفروش'!$A$7:$I$120,9,0),0)</f>
        <v>0</v>
      </c>
      <c r="H26" s="4"/>
      <c r="I26" s="4">
        <f t="shared" si="0"/>
        <v>0</v>
      </c>
      <c r="K26" s="122">
        <f t="shared" si="1"/>
        <v>0</v>
      </c>
      <c r="M26" s="4">
        <f>IFERROR(VLOOKUP(A26,'درآمد سود سهام'!$A$8:$S$110,19,0),0)</f>
        <v>0</v>
      </c>
      <c r="N26" s="4"/>
      <c r="O26" s="4">
        <f>IFERROR(VLOOKUP(A26,'درآمد ناشی از تغییر قیمت  '!$A$7:$Q$109,17,0),0)</f>
        <v>0</v>
      </c>
      <c r="P26" s="4"/>
      <c r="Q26" s="4">
        <f>IFERROR(VLOOKUP(A26,'درآمد ناشی ازفروش'!$A$7:$Q$120,17,0),0)</f>
        <v>94815083</v>
      </c>
      <c r="R26" s="4"/>
      <c r="S26" s="4">
        <f t="shared" si="2"/>
        <v>94815083</v>
      </c>
      <c r="T26" s="144"/>
      <c r="U26" s="122">
        <f>S26/درآمدها!$J$4</f>
        <v>4.0754258379308503E-3</v>
      </c>
      <c r="V26" s="145"/>
      <c r="W26" s="145"/>
      <c r="X26" s="145"/>
      <c r="Y26" s="145"/>
      <c r="Z26" s="145"/>
      <c r="AA26" s="145"/>
      <c r="AB26" s="145"/>
      <c r="AC26" s="145"/>
      <c r="AD26" s="145"/>
    </row>
    <row r="27" spans="1:30" s="139" customFormat="1" ht="30.75">
      <c r="A27" s="188" t="s">
        <v>89</v>
      </c>
      <c r="C27" s="4">
        <f>IFERROR(VLOOKUP(A27,'درآمد سود سهام'!$A$8:$S$110,13,0),0)</f>
        <v>0</v>
      </c>
      <c r="D27" s="4"/>
      <c r="E27" s="4">
        <f>IFERROR(VLOOKUP(A27,'درآمد ناشی از تغییر قیمت  '!$A$7:$Q$109,9,0),0)</f>
        <v>398608786</v>
      </c>
      <c r="F27" s="4"/>
      <c r="G27" s="4">
        <f>IFERROR(VLOOKUP(A27,'درآمد ناشی ازفروش'!$A$7:$I$120,9,0),0)</f>
        <v>124904101</v>
      </c>
      <c r="H27" s="4"/>
      <c r="I27" s="4">
        <f t="shared" si="0"/>
        <v>523512887</v>
      </c>
      <c r="K27" s="122">
        <f t="shared" si="1"/>
        <v>1.3090514304719336</v>
      </c>
      <c r="M27" s="4">
        <f>IFERROR(VLOOKUP(A27,'درآمد سود سهام'!$A$8:$S$110,19,0),0)</f>
        <v>360464000</v>
      </c>
      <c r="N27" s="4"/>
      <c r="O27" s="4">
        <f>IFERROR(VLOOKUP(A27,'درآمد ناشی از تغییر قیمت  '!$A$7:$Q$109,17,0),0)</f>
        <v>497751837</v>
      </c>
      <c r="P27" s="4"/>
      <c r="Q27" s="4">
        <f>IFERROR(VLOOKUP(A27,'درآمد ناشی ازفروش'!$A$7:$Q$120,17,0),0)</f>
        <v>-75096097</v>
      </c>
      <c r="R27" s="4"/>
      <c r="S27" s="4">
        <f t="shared" si="2"/>
        <v>783119740</v>
      </c>
      <c r="T27" s="144"/>
      <c r="U27" s="122">
        <f>S27/درآمدها!$J$4</f>
        <v>3.366074596580472E-2</v>
      </c>
      <c r="V27" s="145"/>
      <c r="W27" s="145"/>
      <c r="X27" s="145"/>
      <c r="Y27" s="145"/>
      <c r="Z27" s="145"/>
      <c r="AA27" s="145"/>
      <c r="AB27" s="145"/>
      <c r="AC27" s="145"/>
      <c r="AD27" s="145"/>
    </row>
    <row r="28" spans="1:30" s="139" customFormat="1" ht="30.75">
      <c r="A28" s="188" t="s">
        <v>87</v>
      </c>
      <c r="C28" s="4">
        <f>IFERROR(VLOOKUP(A28,'درآمد سود سهام'!$A$8:$S$110,13,0),0)</f>
        <v>0</v>
      </c>
      <c r="D28" s="4"/>
      <c r="E28" s="4">
        <f>IFERROR(VLOOKUP(A28,'درآمد ناشی از تغییر قیمت  '!$A$7:$Q$109,9,0),0)</f>
        <v>260722011</v>
      </c>
      <c r="F28" s="4"/>
      <c r="G28" s="4">
        <f>IFERROR(VLOOKUP(A28,'درآمد ناشی ازفروش'!$A$7:$I$120,9,0),0)</f>
        <v>-243615483</v>
      </c>
      <c r="H28" s="4"/>
      <c r="I28" s="4">
        <f t="shared" si="0"/>
        <v>17106528</v>
      </c>
      <c r="K28" s="122">
        <f t="shared" si="1"/>
        <v>4.2775116916669499E-2</v>
      </c>
      <c r="M28" s="4">
        <f>IFERROR(VLOOKUP(A28,'درآمد سود سهام'!$A$8:$S$110,19,0),0)</f>
        <v>258617430</v>
      </c>
      <c r="N28" s="4"/>
      <c r="O28" s="4">
        <f>IFERROR(VLOOKUP(A28,'درآمد ناشی از تغییر قیمت  '!$A$7:$Q$109,17,0),0)</f>
        <v>-552428171</v>
      </c>
      <c r="P28" s="4"/>
      <c r="Q28" s="4">
        <f>IFERROR(VLOOKUP(A28,'درآمد ناشی ازفروش'!$A$7:$Q$120,17,0),0)</f>
        <v>628541211</v>
      </c>
      <c r="R28" s="4"/>
      <c r="S28" s="4">
        <f t="shared" si="2"/>
        <v>334730470</v>
      </c>
      <c r="T28" s="144"/>
      <c r="U28" s="122">
        <f>S28/درآمدها!$J$4</f>
        <v>1.4387681400655815E-2</v>
      </c>
      <c r="V28" s="145"/>
      <c r="W28" s="145"/>
      <c r="X28" s="145"/>
      <c r="Y28" s="145"/>
      <c r="Z28" s="145"/>
      <c r="AA28" s="145"/>
      <c r="AB28" s="145"/>
      <c r="AC28" s="145"/>
    </row>
    <row r="29" spans="1:30" s="139" customFormat="1" ht="30.75">
      <c r="A29" s="188" t="s">
        <v>120</v>
      </c>
      <c r="C29" s="4">
        <f>IFERROR(VLOOKUP(A29,'درآمد سود سهام'!$A$8:$S$110,13,0),0)</f>
        <v>0</v>
      </c>
      <c r="D29" s="4"/>
      <c r="E29" s="4">
        <f>IFERROR(VLOOKUP(A29,'درآمد ناشی از تغییر قیمت  '!$A$7:$Q$109,9,0),0)</f>
        <v>9447722</v>
      </c>
      <c r="F29" s="4"/>
      <c r="G29" s="4">
        <f>IFERROR(VLOOKUP(A29,'درآمد ناشی ازفروش'!$A$7:$I$120,9,0),0)</f>
        <v>-113164644</v>
      </c>
      <c r="H29" s="4"/>
      <c r="I29" s="4">
        <f t="shared" si="0"/>
        <v>-103716922</v>
      </c>
      <c r="K29" s="122">
        <f t="shared" si="1"/>
        <v>-0.25934564072774385</v>
      </c>
      <c r="M29" s="4">
        <f>IFERROR(VLOOKUP(A29,'درآمد سود سهام'!$A$8:$S$110,19,0),0)</f>
        <v>381426306</v>
      </c>
      <c r="N29" s="4"/>
      <c r="O29" s="4">
        <f>IFERROR(VLOOKUP(A29,'درآمد ناشی از تغییر قیمت  '!$A$7:$Q$109,17,0),0)</f>
        <v>-329334326</v>
      </c>
      <c r="P29" s="4"/>
      <c r="Q29" s="4">
        <f>IFERROR(VLOOKUP(A29,'درآمد ناشی ازفروش'!$A$7:$Q$120,17,0),0)</f>
        <v>-243779840</v>
      </c>
      <c r="R29" s="4"/>
      <c r="S29" s="4">
        <f t="shared" si="2"/>
        <v>-191687860</v>
      </c>
      <c r="T29" s="144"/>
      <c r="U29" s="122">
        <f>S29/درآمدها!$J$4</f>
        <v>-8.2392973010599127E-3</v>
      </c>
      <c r="V29" s="145"/>
      <c r="W29" s="145"/>
      <c r="X29" s="145"/>
      <c r="Y29" s="145"/>
      <c r="Z29" s="145"/>
      <c r="AA29" s="145"/>
      <c r="AB29" s="145"/>
      <c r="AC29" s="145"/>
    </row>
    <row r="30" spans="1:30" s="139" customFormat="1" ht="30.75">
      <c r="A30" s="188" t="s">
        <v>94</v>
      </c>
      <c r="C30" s="4">
        <f>IFERROR(VLOOKUP(A30,'درآمد سود سهام'!$A$8:$S$110,13,0),0)</f>
        <v>0</v>
      </c>
      <c r="D30" s="4"/>
      <c r="E30" s="4">
        <f>IFERROR(VLOOKUP(A30,'درآمد ناشی از تغییر قیمت  '!$A$7:$Q$109,9,0),0)</f>
        <v>47347653</v>
      </c>
      <c r="F30" s="4"/>
      <c r="G30" s="4">
        <f>IFERROR(VLOOKUP(A30,'درآمد ناشی ازفروش'!$A$7:$I$120,9,0),0)</f>
        <v>1326958</v>
      </c>
      <c r="H30" s="4"/>
      <c r="I30" s="4">
        <f t="shared" si="0"/>
        <v>48674611</v>
      </c>
      <c r="K30" s="122">
        <f t="shared" si="1"/>
        <v>0.12171155809047909</v>
      </c>
      <c r="M30" s="4">
        <f>IFERROR(VLOOKUP(A30,'درآمد سود سهام'!$A$8:$S$110,19,0),0)</f>
        <v>232158600</v>
      </c>
      <c r="N30" s="4"/>
      <c r="O30" s="4">
        <f>IFERROR(VLOOKUP(A30,'درآمد ناشی از تغییر قیمت  '!$A$7:$Q$109,17,0),0)</f>
        <v>74964033</v>
      </c>
      <c r="P30" s="4"/>
      <c r="Q30" s="4">
        <f>IFERROR(VLOOKUP(A30,'درآمد ناشی ازفروش'!$A$7:$Q$120,17,0),0)</f>
        <v>-847941521</v>
      </c>
      <c r="R30" s="4"/>
      <c r="S30" s="4">
        <f t="shared" si="2"/>
        <v>-540818888</v>
      </c>
      <c r="T30" s="144"/>
      <c r="U30" s="122">
        <f>S30/درآمدها!$J$4</f>
        <v>-2.3245956234581693E-2</v>
      </c>
      <c r="V30" s="145"/>
      <c r="W30" s="145"/>
      <c r="X30" s="145"/>
      <c r="Y30" s="145"/>
      <c r="Z30" s="145"/>
      <c r="AA30" s="145"/>
      <c r="AB30" s="145"/>
      <c r="AC30" s="145"/>
    </row>
    <row r="31" spans="1:30" s="139" customFormat="1" ht="33">
      <c r="A31" s="188" t="s">
        <v>169</v>
      </c>
      <c r="C31" s="4">
        <f>IFERROR(VLOOKUP(A31,'درآمد سود سهام'!$A$8:$S$110,13,0),0)</f>
        <v>0</v>
      </c>
      <c r="D31" s="4"/>
      <c r="E31" s="4">
        <f>IFERROR(VLOOKUP(A31,'درآمد ناشی از تغییر قیمت  '!$A$7:$Q$109,9,0),0)</f>
        <v>-43992775</v>
      </c>
      <c r="F31" s="4"/>
      <c r="G31" s="4">
        <f>IFERROR(VLOOKUP(A31,'درآمد ناشی ازفروش'!$A$7:$I$120,9,0),0)</f>
        <v>416740</v>
      </c>
      <c r="H31" s="4"/>
      <c r="I31" s="4">
        <f t="shared" si="0"/>
        <v>-43576035</v>
      </c>
      <c r="K31" s="122">
        <f t="shared" si="1"/>
        <v>-0.10896249618215234</v>
      </c>
      <c r="M31" s="4">
        <f>IFERROR(VLOOKUP(A31,'درآمد سود سهام'!$A$8:$S$110,19,0),0)</f>
        <v>0</v>
      </c>
      <c r="N31" s="4"/>
      <c r="O31" s="4">
        <f>IFERROR(VLOOKUP(A31,'درآمد ناشی از تغییر قیمت  '!$A$7:$Q$109,17,0),0)</f>
        <v>-43992775</v>
      </c>
      <c r="P31" s="4"/>
      <c r="Q31" s="4">
        <f>IFERROR(VLOOKUP(A31,'درآمد ناشی ازفروش'!$A$7:$Q$120,17,0),0)</f>
        <v>416740</v>
      </c>
      <c r="R31" s="4"/>
      <c r="S31" s="4">
        <f t="shared" si="2"/>
        <v>-43576035</v>
      </c>
      <c r="T31" s="144"/>
      <c r="U31" s="122">
        <f>S31/درآمدها!$J$4</f>
        <v>-1.8730237145241867E-3</v>
      </c>
      <c r="V31" s="145"/>
      <c r="W31" s="189"/>
      <c r="X31" s="189"/>
      <c r="Z31" s="41"/>
      <c r="AA31" s="145"/>
      <c r="AB31" s="145"/>
      <c r="AC31" s="145"/>
    </row>
    <row r="32" spans="1:30" s="139" customFormat="1" ht="33">
      <c r="A32" s="188" t="s">
        <v>167</v>
      </c>
      <c r="C32" s="4">
        <f>IFERROR(VLOOKUP(A32,'درآمد سود سهام'!$A$8:$S$110,13,0),0)</f>
        <v>0</v>
      </c>
      <c r="D32" s="4"/>
      <c r="E32" s="4">
        <f>IFERROR(VLOOKUP(A32,'درآمد ناشی از تغییر قیمت  '!$A$7:$Q$109,9,0),0)</f>
        <v>-47133288</v>
      </c>
      <c r="F32" s="4"/>
      <c r="G32" s="4">
        <f>IFERROR(VLOOKUP(A32,'درآمد ناشی ازفروش'!$A$7:$I$120,9,0),0)</f>
        <v>-143126</v>
      </c>
      <c r="H32" s="4"/>
      <c r="I32" s="4">
        <f t="shared" si="0"/>
        <v>-47276414</v>
      </c>
      <c r="K32" s="122">
        <f t="shared" si="1"/>
        <v>-0.11821534657710031</v>
      </c>
      <c r="M32" s="4">
        <f>IFERROR(VLOOKUP(A32,'درآمد سود سهام'!$A$8:$S$110,19,0),0)</f>
        <v>0</v>
      </c>
      <c r="N32" s="4"/>
      <c r="O32" s="4">
        <f>IFERROR(VLOOKUP(A32,'درآمد ناشی از تغییر قیمت  '!$A$7:$Q$109,17,0),0)</f>
        <v>-47133288</v>
      </c>
      <c r="P32" s="4"/>
      <c r="Q32" s="4">
        <f>IFERROR(VLOOKUP(A32,'درآمد ناشی ازفروش'!$A$7:$Q$120,17,0),0)</f>
        <v>-143126</v>
      </c>
      <c r="R32" s="4"/>
      <c r="S32" s="4">
        <f t="shared" si="2"/>
        <v>-47276414</v>
      </c>
      <c r="T32" s="144"/>
      <c r="U32" s="122">
        <f>S32/درآمدها!$J$4</f>
        <v>-2.0320766806723755E-3</v>
      </c>
      <c r="V32" s="145"/>
      <c r="W32" s="179"/>
      <c r="X32" s="179"/>
      <c r="Y32" s="189"/>
      <c r="Z32" s="41"/>
      <c r="AA32" s="145"/>
      <c r="AB32" s="145"/>
      <c r="AC32" s="145"/>
    </row>
    <row r="33" spans="1:29" s="139" customFormat="1" ht="33">
      <c r="A33" s="188" t="s">
        <v>102</v>
      </c>
      <c r="C33" s="4">
        <f>IFERROR(VLOOKUP(A33,'درآمد سود سهام'!$A$8:$S$110,13,0),0)</f>
        <v>0</v>
      </c>
      <c r="D33" s="4"/>
      <c r="E33" s="4">
        <f>IFERROR(VLOOKUP(A33,'درآمد ناشی از تغییر قیمت  '!$A$7:$Q$109,9,0),0)</f>
        <v>43203083</v>
      </c>
      <c r="F33" s="4"/>
      <c r="G33" s="4">
        <f>IFERROR(VLOOKUP(A33,'درآمد ناشی ازفروش'!$A$7:$I$120,9,0),0)</f>
        <v>-69722240</v>
      </c>
      <c r="H33" s="4"/>
      <c r="I33" s="4">
        <f t="shared" si="0"/>
        <v>-26519157</v>
      </c>
      <c r="K33" s="122">
        <f t="shared" si="1"/>
        <v>-6.6311529797660543E-2</v>
      </c>
      <c r="M33" s="4">
        <f>IFERROR(VLOOKUP(A33,'درآمد سود سهام'!$A$8:$S$110,19,0),0)</f>
        <v>122274500</v>
      </c>
      <c r="N33" s="4"/>
      <c r="O33" s="4">
        <f>IFERROR(VLOOKUP(A33,'درآمد ناشی از تغییر قیمت  '!$A$7:$Q$109,17,0),0)</f>
        <v>-189195447</v>
      </c>
      <c r="P33" s="4"/>
      <c r="Q33" s="4">
        <f>IFERROR(VLOOKUP(A33,'درآمد ناشی ازفروش'!$A$7:$Q$120,17,0),0)</f>
        <v>232490394</v>
      </c>
      <c r="R33" s="4"/>
      <c r="S33" s="4">
        <f t="shared" si="2"/>
        <v>165569447</v>
      </c>
      <c r="T33" s="144"/>
      <c r="U33" s="122">
        <f>S33/درآمدها!$J$4</f>
        <v>7.1166525506888238E-3</v>
      </c>
      <c r="V33" s="145"/>
      <c r="W33" s="41"/>
      <c r="X33" s="41"/>
      <c r="Y33" s="179"/>
      <c r="Z33" s="41"/>
      <c r="AA33" s="145"/>
      <c r="AB33" s="145"/>
      <c r="AC33" s="145"/>
    </row>
    <row r="34" spans="1:29" s="139" customFormat="1" ht="33">
      <c r="A34" s="188" t="s">
        <v>110</v>
      </c>
      <c r="C34" s="4">
        <f>IFERROR(VLOOKUP(A34,'درآمد سود سهام'!$A$8:$S$110,13,0),0)</f>
        <v>669685490</v>
      </c>
      <c r="D34" s="4"/>
      <c r="E34" s="4">
        <f>IFERROR(VLOOKUP(A34,'درآمد ناشی از تغییر قیمت  '!$A$7:$Q$109,9,0),0)</f>
        <v>-655603668</v>
      </c>
      <c r="F34" s="4"/>
      <c r="G34" s="4">
        <f>IFERROR(VLOOKUP(A34,'درآمد ناشی ازفروش'!$A$7:$I$120,9,0),0)</f>
        <v>-193971994</v>
      </c>
      <c r="H34" s="4"/>
      <c r="I34" s="4">
        <f t="shared" si="0"/>
        <v>-179890172</v>
      </c>
      <c r="K34" s="122">
        <f t="shared" si="1"/>
        <v>-0.44981793730789704</v>
      </c>
      <c r="M34" s="4">
        <f>IFERROR(VLOOKUP(A34,'درآمد سود سهام'!$A$8:$S$110,19,0),0)</f>
        <v>669685490</v>
      </c>
      <c r="N34" s="4"/>
      <c r="O34" s="4">
        <f>IFERROR(VLOOKUP(A34,'درآمد ناشی از تغییر قیمت  '!$A$7:$Q$109,17,0),0)</f>
        <v>-533963998</v>
      </c>
      <c r="P34" s="4"/>
      <c r="Q34" s="4">
        <f>IFERROR(VLOOKUP(A34,'درآمد ناشی ازفروش'!$A$7:$Q$120,17,0),0)</f>
        <v>-1379070626</v>
      </c>
      <c r="R34" s="4"/>
      <c r="S34" s="4">
        <f t="shared" si="2"/>
        <v>-1243349134</v>
      </c>
      <c r="T34" s="144"/>
      <c r="U34" s="122">
        <f>S34/درآمدها!$J$4</f>
        <v>-5.3442733222862311E-2</v>
      </c>
      <c r="V34" s="145"/>
      <c r="W34" s="41"/>
      <c r="X34" s="41"/>
      <c r="Y34" s="41"/>
      <c r="Z34" s="41"/>
      <c r="AA34" s="145"/>
      <c r="AB34" s="145"/>
      <c r="AC34" s="145"/>
    </row>
    <row r="35" spans="1:29" s="139" customFormat="1" ht="33">
      <c r="A35" s="188" t="s">
        <v>123</v>
      </c>
      <c r="C35" s="4">
        <f>IFERROR(VLOOKUP(A35,'درآمد سود سهام'!$A$8:$S$110,13,0),0)</f>
        <v>0</v>
      </c>
      <c r="D35" s="4"/>
      <c r="E35" s="4">
        <f>IFERROR(VLOOKUP(A35,'درآمد ناشی از تغییر قیمت  '!$A$7:$Q$109,9,0),0)</f>
        <v>-51903749</v>
      </c>
      <c r="F35" s="4"/>
      <c r="G35" s="4">
        <f>IFERROR(VLOOKUP(A35,'درآمد ناشی ازفروش'!$A$7:$I$120,9,0),0)</f>
        <v>-64585552</v>
      </c>
      <c r="H35" s="4"/>
      <c r="I35" s="4">
        <f t="shared" si="0"/>
        <v>-116489301</v>
      </c>
      <c r="K35" s="122">
        <f t="shared" si="1"/>
        <v>-0.29128315633751661</v>
      </c>
      <c r="M35" s="4">
        <f>IFERROR(VLOOKUP(A35,'درآمد سود سهام'!$A$8:$S$110,19,0),0)</f>
        <v>0</v>
      </c>
      <c r="N35" s="4"/>
      <c r="O35" s="4">
        <f>IFERROR(VLOOKUP(A35,'درآمد ناشی از تغییر قیمت  '!$A$7:$Q$109,17,0),0)</f>
        <v>-171506515</v>
      </c>
      <c r="P35" s="4"/>
      <c r="Q35" s="4">
        <f>IFERROR(VLOOKUP(A35,'درآمد ناشی ازفروش'!$A$7:$Q$120,17,0),0)</f>
        <v>-448534665</v>
      </c>
      <c r="R35" s="4"/>
      <c r="S35" s="4">
        <f t="shared" si="2"/>
        <v>-620041180</v>
      </c>
      <c r="T35" s="144"/>
      <c r="U35" s="122">
        <f>S35/درآمدها!$J$4</f>
        <v>-2.6651158925348757E-2</v>
      </c>
      <c r="V35" s="145"/>
      <c r="W35" s="41"/>
      <c r="X35" s="41"/>
      <c r="Y35" s="41"/>
      <c r="Z35" s="41"/>
      <c r="AA35" s="145"/>
      <c r="AB35" s="145"/>
      <c r="AC35" s="145"/>
    </row>
    <row r="36" spans="1:29" s="139" customFormat="1" ht="33">
      <c r="A36" s="188" t="s">
        <v>105</v>
      </c>
      <c r="C36" s="4">
        <f>IFERROR(VLOOKUP(A36,'درآمد سود سهام'!$A$8:$S$110,13,0),0)</f>
        <v>0</v>
      </c>
      <c r="D36" s="4"/>
      <c r="E36" s="4">
        <f>IFERROR(VLOOKUP(A36,'درآمد ناشی از تغییر قیمت  '!$A$7:$Q$109,9,0),0)</f>
        <v>0</v>
      </c>
      <c r="F36" s="4"/>
      <c r="G36" s="4">
        <f>IFERROR(VLOOKUP(A36,'درآمد ناشی ازفروش'!$A$7:$I$120,9,0),0)</f>
        <v>0</v>
      </c>
      <c r="H36" s="4"/>
      <c r="I36" s="4">
        <f t="shared" si="0"/>
        <v>0</v>
      </c>
      <c r="K36" s="122">
        <f t="shared" si="1"/>
        <v>0</v>
      </c>
      <c r="M36" s="4">
        <f>IFERROR(VLOOKUP(A36,'درآمد سود سهام'!$A$8:$S$110,19,0),0)</f>
        <v>0</v>
      </c>
      <c r="N36" s="4"/>
      <c r="O36" s="4">
        <f>IFERROR(VLOOKUP(A36,'درآمد ناشی از تغییر قیمت  '!$A$7:$Q$109,17,0),0)</f>
        <v>0</v>
      </c>
      <c r="P36" s="4"/>
      <c r="Q36" s="4">
        <f>IFERROR(VLOOKUP(A36,'درآمد ناشی ازفروش'!$A$7:$Q$120,17,0),0)</f>
        <v>-7895697</v>
      </c>
      <c r="R36" s="4"/>
      <c r="S36" s="4">
        <f t="shared" si="2"/>
        <v>-7895697</v>
      </c>
      <c r="T36" s="144"/>
      <c r="U36" s="122">
        <f>S36/درآمدها!$J$4</f>
        <v>-3.3937983856717295E-4</v>
      </c>
      <c r="V36" s="145"/>
      <c r="W36" s="41"/>
      <c r="X36" s="41"/>
      <c r="Y36" s="41"/>
      <c r="Z36" s="41"/>
      <c r="AA36" s="145"/>
      <c r="AB36" s="145"/>
      <c r="AC36" s="145"/>
    </row>
    <row r="37" spans="1:29" s="139" customFormat="1" ht="33">
      <c r="A37" s="188" t="s">
        <v>109</v>
      </c>
      <c r="C37" s="4">
        <f>IFERROR(VLOOKUP(A37,'درآمد سود سهام'!$A$8:$S$110,13,0),0)</f>
        <v>0</v>
      </c>
      <c r="D37" s="4"/>
      <c r="E37" s="4">
        <f>IFERROR(VLOOKUP(A37,'درآمد ناشی از تغییر قیمت  '!$A$7:$Q$109,9,0),0)</f>
        <v>-68798818</v>
      </c>
      <c r="F37" s="4"/>
      <c r="G37" s="4">
        <f>IFERROR(VLOOKUP(A37,'درآمد ناشی ازفروش'!$A$7:$I$120,9,0),0)</f>
        <v>-55878156</v>
      </c>
      <c r="H37" s="4"/>
      <c r="I37" s="4">
        <f t="shared" si="0"/>
        <v>-124676974</v>
      </c>
      <c r="K37" s="122">
        <f t="shared" si="1"/>
        <v>-0.31175654929314489</v>
      </c>
      <c r="M37" s="4">
        <f>IFERROR(VLOOKUP(A37,'درآمد سود سهام'!$A$8:$S$110,19,0),0)</f>
        <v>357917480</v>
      </c>
      <c r="N37" s="4"/>
      <c r="O37" s="4">
        <f>IFERROR(VLOOKUP(A37,'درآمد ناشی از تغییر قیمت  '!$A$7:$Q$109,17,0),0)</f>
        <v>-224819712</v>
      </c>
      <c r="P37" s="4"/>
      <c r="Q37" s="4">
        <f>IFERROR(VLOOKUP(A37,'درآمد ناشی ازفروش'!$A$7:$Q$120,17,0),0)</f>
        <v>206062512</v>
      </c>
      <c r="R37" s="4"/>
      <c r="S37" s="4">
        <f t="shared" si="2"/>
        <v>339160280</v>
      </c>
      <c r="T37" s="144"/>
      <c r="U37" s="122">
        <f>S37/درآمدها!$J$4</f>
        <v>1.457808741581613E-2</v>
      </c>
      <c r="V37" s="145"/>
      <c r="W37" s="41"/>
      <c r="X37" s="41"/>
      <c r="Y37" s="41"/>
      <c r="Z37" s="41"/>
      <c r="AA37" s="145"/>
      <c r="AB37" s="145"/>
      <c r="AC37" s="145"/>
    </row>
    <row r="38" spans="1:29" s="139" customFormat="1" ht="33">
      <c r="A38" s="188" t="s">
        <v>121</v>
      </c>
      <c r="C38" s="4">
        <f>IFERROR(VLOOKUP(A38,'درآمد سود سهام'!$A$8:$S$110,13,0),0)</f>
        <v>0</v>
      </c>
      <c r="D38" s="4"/>
      <c r="E38" s="4">
        <f>IFERROR(VLOOKUP(A38,'درآمد ناشی از تغییر قیمت  '!$A$7:$Q$109,9,0),0)</f>
        <v>0</v>
      </c>
      <c r="F38" s="4"/>
      <c r="G38" s="4">
        <f>IFERROR(VLOOKUP(A38,'درآمد ناشی ازفروش'!$A$7:$I$120,9,0),0)</f>
        <v>0</v>
      </c>
      <c r="H38" s="4"/>
      <c r="I38" s="4">
        <f t="shared" si="0"/>
        <v>0</v>
      </c>
      <c r="K38" s="122">
        <f t="shared" si="1"/>
        <v>0</v>
      </c>
      <c r="M38" s="4">
        <f>IFERROR(VLOOKUP(A38,'درآمد سود سهام'!$A$8:$S$110,19,0),0)</f>
        <v>575605749</v>
      </c>
      <c r="N38" s="4"/>
      <c r="O38" s="4">
        <f>IFERROR(VLOOKUP(A38,'درآمد ناشی از تغییر قیمت  '!$A$7:$Q$109,17,0),0)</f>
        <v>0</v>
      </c>
      <c r="P38" s="4"/>
      <c r="Q38" s="4">
        <f>IFERROR(VLOOKUP(A38,'درآمد ناشی ازفروش'!$A$7:$Q$120,17,0),0)</f>
        <v>2103361053</v>
      </c>
      <c r="R38" s="4"/>
      <c r="S38" s="4">
        <f t="shared" si="2"/>
        <v>2678966802</v>
      </c>
      <c r="T38" s="144"/>
      <c r="U38" s="122">
        <f>S38/درآمدها!$J$4</f>
        <v>0.11514972279072709</v>
      </c>
      <c r="V38" s="145"/>
      <c r="W38" s="41"/>
      <c r="X38" s="41"/>
      <c r="Y38" s="41"/>
      <c r="Z38" s="41"/>
      <c r="AA38" s="145"/>
      <c r="AB38" s="145"/>
      <c r="AC38" s="145"/>
    </row>
    <row r="39" spans="1:29" s="139" customFormat="1" ht="35.25" customHeight="1">
      <c r="A39" s="188" t="s">
        <v>100</v>
      </c>
      <c r="C39" s="4">
        <f>IFERROR(VLOOKUP(A39,'درآمد سود سهام'!$A$8:$S$110,13,0),0)</f>
        <v>0</v>
      </c>
      <c r="D39" s="4"/>
      <c r="E39" s="4">
        <f>IFERROR(VLOOKUP(A39,'درآمد ناشی از تغییر قیمت  '!$A$7:$Q$109,9,0),0)</f>
        <v>0</v>
      </c>
      <c r="F39" s="4"/>
      <c r="G39" s="4">
        <f>IFERROR(VLOOKUP(A39,'درآمد ناشی ازفروش'!$A$7:$I$120,9,0),0)</f>
        <v>0</v>
      </c>
      <c r="H39" s="4"/>
      <c r="I39" s="4">
        <f t="shared" si="0"/>
        <v>0</v>
      </c>
      <c r="K39" s="122">
        <f t="shared" si="1"/>
        <v>0</v>
      </c>
      <c r="M39" s="4">
        <f>IFERROR(VLOOKUP(A39,'درآمد سود سهام'!$A$8:$S$110,19,0),0)</f>
        <v>0</v>
      </c>
      <c r="N39" s="4"/>
      <c r="O39" s="4">
        <f>IFERROR(VLOOKUP(A39,'درآمد ناشی از تغییر قیمت  '!$A$7:$Q$109,17,0),0)</f>
        <v>0</v>
      </c>
      <c r="P39" s="4"/>
      <c r="Q39" s="4">
        <f>IFERROR(VLOOKUP(A39,'درآمد ناشی ازفروش'!$A$7:$Q$120,17,0),0)</f>
        <v>235633818</v>
      </c>
      <c r="R39" s="4"/>
      <c r="S39" s="4">
        <f t="shared" si="2"/>
        <v>235633818</v>
      </c>
      <c r="T39" s="144"/>
      <c r="U39" s="122">
        <f>S39/درآمدها!$J$4</f>
        <v>1.0128221373465396E-2</v>
      </c>
      <c r="V39" s="145"/>
      <c r="W39" s="41"/>
      <c r="X39" s="41"/>
      <c r="Y39" s="41"/>
      <c r="Z39" s="41"/>
      <c r="AA39" s="145"/>
      <c r="AB39" s="145"/>
      <c r="AC39" s="145"/>
    </row>
    <row r="40" spans="1:29" s="139" customFormat="1" ht="33">
      <c r="A40" s="188" t="s">
        <v>99</v>
      </c>
      <c r="C40" s="4">
        <f>IFERROR(VLOOKUP(A40,'درآمد سود سهام'!$A$8:$S$110,13,0),0)</f>
        <v>0</v>
      </c>
      <c r="D40" s="4"/>
      <c r="E40" s="4">
        <f>IFERROR(VLOOKUP(A40,'درآمد ناشی از تغییر قیمت  '!$A$7:$Q$109,9,0),0)</f>
        <v>0</v>
      </c>
      <c r="F40" s="4"/>
      <c r="G40" s="4">
        <f>IFERROR(VLOOKUP(A40,'درآمد ناشی ازفروش'!$A$7:$I$120,9,0),0)</f>
        <v>0</v>
      </c>
      <c r="H40" s="4"/>
      <c r="I40" s="4">
        <f t="shared" si="0"/>
        <v>0</v>
      </c>
      <c r="K40" s="122">
        <f t="shared" si="1"/>
        <v>0</v>
      </c>
      <c r="M40" s="4">
        <f>IFERROR(VLOOKUP(A40,'درآمد سود سهام'!$A$8:$S$110,19,0),0)</f>
        <v>0</v>
      </c>
      <c r="N40" s="4"/>
      <c r="O40" s="4">
        <f>IFERROR(VLOOKUP(A40,'درآمد ناشی از تغییر قیمت  '!$A$7:$Q$109,17,0),0)</f>
        <v>0</v>
      </c>
      <c r="P40" s="4"/>
      <c r="Q40" s="4">
        <f>IFERROR(VLOOKUP(A40,'درآمد ناشی ازفروش'!$A$7:$Q$120,17,0),0)</f>
        <v>4819534338</v>
      </c>
      <c r="R40" s="4"/>
      <c r="S40" s="4">
        <f t="shared" si="2"/>
        <v>4819534338</v>
      </c>
      <c r="T40" s="144"/>
      <c r="U40" s="122">
        <f>S40/درآمدها!$J$4</f>
        <v>0.20715749168178396</v>
      </c>
      <c r="V40" s="145"/>
      <c r="W40" s="41"/>
      <c r="X40" s="41"/>
      <c r="Y40" s="41"/>
      <c r="Z40" s="41"/>
      <c r="AA40" s="145"/>
      <c r="AB40" s="145"/>
      <c r="AC40" s="145"/>
    </row>
    <row r="41" spans="1:29" s="139" customFormat="1" ht="33">
      <c r="A41" s="188" t="s">
        <v>124</v>
      </c>
      <c r="C41" s="4">
        <f>IFERROR(VLOOKUP(A41,'درآمد سود سهام'!$A$8:$S$110,13,0),0)</f>
        <v>0</v>
      </c>
      <c r="D41" s="4"/>
      <c r="E41" s="4">
        <f>IFERROR(VLOOKUP(A41,'درآمد ناشی از تغییر قیمت  '!$A$7:$Q$109,9,0),0)</f>
        <v>671530479</v>
      </c>
      <c r="F41" s="4"/>
      <c r="G41" s="4">
        <f>IFERROR(VLOOKUP(A41,'درآمد ناشی ازفروش'!$A$7:$I$120,9,0),0)</f>
        <v>0</v>
      </c>
      <c r="H41" s="4"/>
      <c r="I41" s="4">
        <f t="shared" si="0"/>
        <v>671530479</v>
      </c>
      <c r="K41" s="122">
        <f t="shared" si="1"/>
        <v>1.6791715275204921</v>
      </c>
      <c r="M41" s="4">
        <f>IFERROR(VLOOKUP(A41,'درآمد سود سهام'!$A$8:$S$110,19,0),0)</f>
        <v>772875000</v>
      </c>
      <c r="N41" s="4"/>
      <c r="O41" s="4">
        <f>IFERROR(VLOOKUP(A41,'درآمد ناشی از تغییر قیمت  '!$A$7:$Q$109,17,0),0)</f>
        <v>870105772</v>
      </c>
      <c r="P41" s="4"/>
      <c r="Q41" s="4">
        <f>IFERROR(VLOOKUP(A41,'درآمد ناشی ازفروش'!$A$7:$Q$120,17,0),0)</f>
        <v>1633295555</v>
      </c>
      <c r="R41" s="4"/>
      <c r="S41" s="4">
        <f t="shared" si="2"/>
        <v>3276276327</v>
      </c>
      <c r="T41" s="144"/>
      <c r="U41" s="122">
        <f>S41/درآمدها!$J$4</f>
        <v>0.14082380959638019</v>
      </c>
      <c r="V41" s="145"/>
      <c r="W41" s="41"/>
      <c r="X41" s="41"/>
      <c r="Y41" s="41"/>
      <c r="Z41" s="41"/>
      <c r="AA41" s="145"/>
      <c r="AB41" s="145"/>
      <c r="AC41" s="145"/>
    </row>
    <row r="42" spans="1:29" s="139" customFormat="1" ht="33">
      <c r="A42" s="188" t="s">
        <v>125</v>
      </c>
      <c r="C42" s="4">
        <f>IFERROR(VLOOKUP(A42,'درآمد سود سهام'!$A$8:$S$110,13,0),0)</f>
        <v>0</v>
      </c>
      <c r="D42" s="4"/>
      <c r="E42" s="4">
        <f>IFERROR(VLOOKUP(A42,'درآمد ناشی از تغییر قیمت  '!$A$7:$Q$109,9,0),0)</f>
        <v>-387679500</v>
      </c>
      <c r="F42" s="4"/>
      <c r="G42" s="4">
        <f>IFERROR(VLOOKUP(A42,'درآمد ناشی ازفروش'!$A$7:$I$120,9,0),0)</f>
        <v>0</v>
      </c>
      <c r="H42" s="4"/>
      <c r="I42" s="4">
        <f t="shared" si="0"/>
        <v>-387679500</v>
      </c>
      <c r="K42" s="122">
        <f t="shared" si="1"/>
        <v>-0.96939811156863465</v>
      </c>
      <c r="M42" s="4">
        <f>IFERROR(VLOOKUP(A42,'درآمد سود سهام'!$A$8:$S$110,19,0),0)</f>
        <v>50000000</v>
      </c>
      <c r="N42" s="4"/>
      <c r="O42" s="4">
        <f>IFERROR(VLOOKUP(A42,'درآمد ناشی از تغییر قیمت  '!$A$7:$Q$109,17,0),0)</f>
        <v>-23518620</v>
      </c>
      <c r="P42" s="4"/>
      <c r="Q42" s="4">
        <f>IFERROR(VLOOKUP(A42,'درآمد ناشی ازفروش'!$A$7:$Q$120,17,0),0)</f>
        <v>710090322</v>
      </c>
      <c r="R42" s="4"/>
      <c r="S42" s="4">
        <f t="shared" si="2"/>
        <v>736571702</v>
      </c>
      <c r="T42" s="144"/>
      <c r="U42" s="122">
        <f>S42/درآمدها!$J$4</f>
        <v>3.1659976987200474E-2</v>
      </c>
      <c r="V42" s="145"/>
      <c r="W42" s="41"/>
      <c r="X42" s="41"/>
      <c r="Y42" s="41"/>
      <c r="Z42" s="41"/>
      <c r="AA42" s="189"/>
      <c r="AB42" s="145"/>
      <c r="AC42" s="145"/>
    </row>
    <row r="43" spans="1:29" s="139" customFormat="1" ht="33">
      <c r="A43" s="188" t="s">
        <v>140</v>
      </c>
      <c r="C43" s="4">
        <f>IFERROR(VLOOKUP(A43,'درآمد سود سهام'!$A$8:$S$110,13,0),0)</f>
        <v>0</v>
      </c>
      <c r="D43" s="4"/>
      <c r="E43" s="4">
        <f>IFERROR(VLOOKUP(A43,'درآمد ناشی از تغییر قیمت  '!$A$7:$Q$109,9,0),0)</f>
        <v>0</v>
      </c>
      <c r="F43" s="4"/>
      <c r="G43" s="4">
        <f>IFERROR(VLOOKUP(A43,'درآمد ناشی ازفروش'!$A$7:$I$120,9,0),0)</f>
        <v>0</v>
      </c>
      <c r="H43" s="4"/>
      <c r="I43" s="4">
        <f t="shared" si="0"/>
        <v>0</v>
      </c>
      <c r="K43" s="122">
        <f t="shared" si="1"/>
        <v>0</v>
      </c>
      <c r="M43" s="4">
        <f>IFERROR(VLOOKUP(A43,'درآمد سود سهام'!$A$8:$S$110,19,0),0)</f>
        <v>1875000000</v>
      </c>
      <c r="N43" s="4"/>
      <c r="O43" s="4">
        <f>IFERROR(VLOOKUP(A43,'درآمد ناشی از تغییر قیمت  '!$A$7:$Q$109,17,0),0)</f>
        <v>0</v>
      </c>
      <c r="P43" s="4"/>
      <c r="Q43" s="4">
        <f>IFERROR(VLOOKUP(A43,'درآمد ناشی ازفروش'!$A$7:$Q$120,17,0),0)</f>
        <v>316310624</v>
      </c>
      <c r="R43" s="4"/>
      <c r="S43" s="4">
        <f t="shared" si="2"/>
        <v>2191310624</v>
      </c>
      <c r="T43" s="144"/>
      <c r="U43" s="122">
        <f>S43/درآمدها!$J$4</f>
        <v>9.4188853222666846E-2</v>
      </c>
      <c r="V43" s="145"/>
      <c r="W43" s="41"/>
      <c r="X43" s="41"/>
      <c r="Y43" s="41"/>
      <c r="Z43" s="41"/>
      <c r="AA43" s="179"/>
      <c r="AB43" s="145"/>
      <c r="AC43" s="145"/>
    </row>
    <row r="44" spans="1:29" s="139" customFormat="1" ht="33">
      <c r="A44" s="188" t="s">
        <v>161</v>
      </c>
      <c r="C44" s="4">
        <f>IFERROR(VLOOKUP(A44,'درآمد سود سهام'!$A$8:$S$110,13,0),0)</f>
        <v>0</v>
      </c>
      <c r="D44" s="4"/>
      <c r="E44" s="4">
        <f>IFERROR(VLOOKUP(A44,'درآمد ناشی از تغییر قیمت  '!$A$7:$Q$109,9,0),0)</f>
        <v>31858711</v>
      </c>
      <c r="F44" s="4"/>
      <c r="G44" s="4">
        <f>IFERROR(VLOOKUP(A44,'درآمد ناشی ازفروش'!$A$7:$I$120,9,0),0)</f>
        <v>-23999457</v>
      </c>
      <c r="H44" s="4"/>
      <c r="I44" s="4">
        <f t="shared" si="0"/>
        <v>7859254</v>
      </c>
      <c r="K44" s="122">
        <f t="shared" si="1"/>
        <v>1.9652176568372169E-2</v>
      </c>
      <c r="M44" s="4">
        <f>IFERROR(VLOOKUP(A44,'درآمد سود سهام'!$A$8:$S$110,19,0),0)</f>
        <v>0</v>
      </c>
      <c r="N44" s="4"/>
      <c r="O44" s="4">
        <f>IFERROR(VLOOKUP(A44,'درآمد ناشی از تغییر قیمت  '!$A$7:$Q$109,17,0),0)</f>
        <v>0</v>
      </c>
      <c r="P44" s="4"/>
      <c r="Q44" s="4">
        <f>IFERROR(VLOOKUP(A44,'درآمد ناشی ازفروش'!$A$7:$Q$120,17,0),0)</f>
        <v>-23999457</v>
      </c>
      <c r="R44" s="4"/>
      <c r="S44" s="4">
        <f t="shared" si="2"/>
        <v>-23999457</v>
      </c>
      <c r="T44" s="144"/>
      <c r="U44" s="122">
        <f>S44/درآمدها!$J$4</f>
        <v>-1.0315659076532203E-3</v>
      </c>
      <c r="V44" s="145"/>
      <c r="W44" s="41"/>
      <c r="X44" s="41"/>
      <c r="Y44" s="41"/>
      <c r="Z44" s="41"/>
      <c r="AA44" s="179"/>
      <c r="AB44" s="145"/>
      <c r="AC44" s="145"/>
    </row>
    <row r="45" spans="1:29" s="139" customFormat="1" ht="33">
      <c r="A45" s="188" t="s">
        <v>150</v>
      </c>
      <c r="C45" s="4">
        <f>IFERROR(VLOOKUP(A45,'درآمد سود سهام'!$A$8:$S$110,13,0),0)</f>
        <v>0</v>
      </c>
      <c r="D45" s="4"/>
      <c r="E45" s="4">
        <f>IFERROR(VLOOKUP(A45,'درآمد ناشی از تغییر قیمت  '!$A$7:$Q$109,9,0),0)</f>
        <v>0</v>
      </c>
      <c r="F45" s="4"/>
      <c r="G45" s="4">
        <f>IFERROR(VLOOKUP(A45,'درآمد ناشی ازفروش'!$A$7:$I$120,9,0),0)</f>
        <v>0</v>
      </c>
      <c r="H45" s="4"/>
      <c r="I45" s="4">
        <f t="shared" si="0"/>
        <v>0</v>
      </c>
      <c r="K45" s="122">
        <f t="shared" si="1"/>
        <v>0</v>
      </c>
      <c r="M45" s="4">
        <f>IFERROR(VLOOKUP(A45,'درآمد سود سهام'!$A$8:$S$110,19,0),0)</f>
        <v>0</v>
      </c>
      <c r="N45" s="4"/>
      <c r="O45" s="4">
        <f>IFERROR(VLOOKUP(A45,'درآمد ناشی از تغییر قیمت  '!$A$7:$Q$109,17,0),0)</f>
        <v>0</v>
      </c>
      <c r="P45" s="4"/>
      <c r="Q45" s="4">
        <f>IFERROR(VLOOKUP(A45,'درآمد ناشی ازفروش'!$A$7:$Q$120,17,0),0)</f>
        <v>-126126493</v>
      </c>
      <c r="R45" s="4"/>
      <c r="S45" s="4">
        <f t="shared" si="2"/>
        <v>-126126493</v>
      </c>
      <c r="T45" s="144"/>
      <c r="U45" s="122">
        <f>S45/درآمدها!$J$4</f>
        <v>-5.42128058275079E-3</v>
      </c>
      <c r="V45" s="145"/>
      <c r="W45" s="41"/>
      <c r="X45" s="41"/>
      <c r="Y45" s="41"/>
      <c r="Z45" s="41"/>
      <c r="AA45" s="41"/>
      <c r="AB45" s="189"/>
      <c r="AC45" s="189"/>
    </row>
    <row r="46" spans="1:29" s="189" customFormat="1" ht="25.5" customHeight="1" thickBot="1">
      <c r="C46" s="346">
        <f>SUM(C11:C45)</f>
        <v>1620225178</v>
      </c>
      <c r="D46" s="353">
        <v>0</v>
      </c>
      <c r="E46" s="346">
        <f>SUM(E11:E45)</f>
        <v>-438218767</v>
      </c>
      <c r="F46" s="353">
        <v>0</v>
      </c>
      <c r="G46" s="346">
        <f>SUM(G11:G45)</f>
        <v>-1194642468</v>
      </c>
      <c r="H46" s="353">
        <v>0</v>
      </c>
      <c r="I46" s="346">
        <f>SUM(I11:I45)</f>
        <v>-12636057</v>
      </c>
      <c r="J46" s="190">
        <v>0</v>
      </c>
      <c r="K46" s="69">
        <f>SUM(K11:K45)</f>
        <v>-3.1596640507103625E-2</v>
      </c>
      <c r="M46" s="346">
        <f>SUM(M11:M45)</f>
        <v>8406093797</v>
      </c>
      <c r="N46" s="353"/>
      <c r="O46" s="346">
        <f>SUM(O11:O45)</f>
        <v>-2070225250</v>
      </c>
      <c r="P46" s="353"/>
      <c r="Q46" s="346">
        <f>SUM(Q11:Q45)</f>
        <v>10526952178</v>
      </c>
      <c r="R46" s="353"/>
      <c r="S46" s="346">
        <f>SUM(S11:S45)</f>
        <v>16862820725</v>
      </c>
      <c r="T46" s="190"/>
      <c r="U46" s="69">
        <f>SUM(U11:U45)</f>
        <v>0.7248126891695158</v>
      </c>
      <c r="W46" s="41"/>
      <c r="X46" s="41"/>
      <c r="Y46" s="41"/>
      <c r="Z46" s="41"/>
      <c r="AA46" s="41"/>
      <c r="AB46" s="179"/>
      <c r="AC46" s="179"/>
    </row>
    <row r="47" spans="1:29" ht="25.5" customHeight="1" thickTop="1">
      <c r="D47" s="4">
        <v>0</v>
      </c>
      <c r="F47" s="4">
        <v>0</v>
      </c>
      <c r="H47" s="4">
        <v>0</v>
      </c>
      <c r="J47" s="144">
        <v>0</v>
      </c>
      <c r="L47" s="139"/>
      <c r="N47" s="4"/>
      <c r="O47" s="191"/>
      <c r="P47" s="4"/>
      <c r="Q47" s="191"/>
      <c r="R47" s="4"/>
      <c r="S47" s="191"/>
      <c r="T47" s="191"/>
      <c r="W47" s="41"/>
      <c r="X47" s="41"/>
      <c r="Y47" s="41"/>
      <c r="AA47" s="41"/>
      <c r="AB47" s="41"/>
      <c r="AC47" s="41"/>
    </row>
    <row r="48" spans="1:29" s="41" customFormat="1" ht="33">
      <c r="Z48" s="179"/>
    </row>
    <row r="49" spans="23:29" s="41" customFormat="1" ht="33">
      <c r="W49" s="179"/>
      <c r="X49" s="179"/>
      <c r="Z49" s="179"/>
    </row>
    <row r="50" spans="23:29" s="41" customFormat="1" ht="33">
      <c r="W50" s="179"/>
      <c r="X50" s="179"/>
      <c r="Y50" s="179"/>
      <c r="Z50" s="179"/>
    </row>
    <row r="51" spans="23:29" s="41" customFormat="1" ht="33">
      <c r="W51" s="179"/>
      <c r="X51" s="179"/>
      <c r="Y51" s="179"/>
      <c r="Z51" s="179"/>
    </row>
    <row r="52" spans="23:29" s="41" customFormat="1" ht="33">
      <c r="W52" s="179"/>
      <c r="X52" s="179"/>
      <c r="Y52" s="179"/>
      <c r="Z52" s="179"/>
    </row>
    <row r="53" spans="23:29" s="41" customFormat="1" ht="33">
      <c r="W53" s="179"/>
      <c r="X53" s="179"/>
      <c r="Y53" s="179"/>
      <c r="Z53" s="179"/>
    </row>
    <row r="54" spans="23:29" s="41" customFormat="1" ht="33">
      <c r="W54" s="179"/>
      <c r="X54" s="179"/>
      <c r="Y54" s="179"/>
      <c r="Z54" s="179"/>
      <c r="AA54" s="179"/>
    </row>
    <row r="55" spans="23:29" s="41" customFormat="1" ht="33">
      <c r="W55" s="179"/>
      <c r="X55" s="179"/>
      <c r="Y55" s="179"/>
      <c r="Z55" s="179"/>
      <c r="AA55" s="179"/>
    </row>
    <row r="56" spans="23:29" s="41" customFormat="1" ht="33">
      <c r="W56" s="179"/>
      <c r="X56" s="179"/>
      <c r="Y56" s="179"/>
      <c r="Z56" s="179"/>
      <c r="AA56" s="179"/>
      <c r="AB56" s="179"/>
      <c r="AC56" s="179"/>
    </row>
  </sheetData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Q22"/>
  <sheetViews>
    <sheetView rightToLeft="1" view="pageBreakPreview" zoomScaleNormal="100" zoomScaleSheetLayoutView="100" workbookViewId="0">
      <selection activeCell="G26" sqref="G26"/>
    </sheetView>
  </sheetViews>
  <sheetFormatPr defaultColWidth="9.140625" defaultRowHeight="21.75"/>
  <cols>
    <col min="1" max="1" width="32.5703125" style="149" customWidth="1"/>
    <col min="2" max="2" width="0.42578125" style="149" customWidth="1"/>
    <col min="3" max="3" width="17.5703125" style="149" bestFit="1" customWidth="1"/>
    <col min="4" max="4" width="0.7109375" style="149" customWidth="1"/>
    <col min="5" max="5" width="20.140625" style="149" bestFit="1" customWidth="1"/>
    <col min="6" max="6" width="0.5703125" style="149" customWidth="1"/>
    <col min="7" max="7" width="18.85546875" style="149" bestFit="1" customWidth="1"/>
    <col min="8" max="8" width="0.5703125" style="149" customWidth="1"/>
    <col min="9" max="9" width="19.5703125" style="149" bestFit="1" customWidth="1"/>
    <col min="10" max="10" width="0.42578125" style="149" customWidth="1"/>
    <col min="11" max="11" width="17.5703125" style="149" bestFit="1" customWidth="1"/>
    <col min="12" max="12" width="0.5703125" style="149" customWidth="1"/>
    <col min="13" max="13" width="20.140625" style="149" bestFit="1" customWidth="1"/>
    <col min="14" max="14" width="0.85546875" style="149" customWidth="1"/>
    <col min="15" max="15" width="19.28515625" style="149" bestFit="1" customWidth="1"/>
    <col min="16" max="16" width="0.5703125" style="149" customWidth="1"/>
    <col min="17" max="17" width="20.140625" style="149" bestFit="1" customWidth="1"/>
    <col min="18" max="18" width="9.140625" style="149"/>
    <col min="19" max="19" width="13.7109375" style="149" bestFit="1" customWidth="1"/>
    <col min="20" max="16384" width="9.140625" style="149"/>
  </cols>
  <sheetData>
    <row r="1" spans="1:17" ht="21" customHeight="1">
      <c r="A1" s="322" t="s">
        <v>86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17" ht="18" customHeight="1">
      <c r="A2" s="322" t="s">
        <v>52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17" ht="19.5" customHeight="1">
      <c r="A3" s="322" t="str">
        <f>' سهام'!A3:W3</f>
        <v>برای ماه منتهی به 1403/07/30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</row>
    <row r="4" spans="1:17">
      <c r="A4" s="288" t="s">
        <v>26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</row>
    <row r="5" spans="1:17" ht="4.5" customHeigh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</row>
    <row r="6" spans="1:17" ht="22.5" customHeight="1" thickBot="1">
      <c r="A6" s="193"/>
      <c r="B6" s="194"/>
      <c r="C6" s="322" t="str">
        <f>'درآمد سرمایه گذاری در سهام '!C7</f>
        <v>طی مهر ماه</v>
      </c>
      <c r="D6" s="322"/>
      <c r="E6" s="322"/>
      <c r="F6" s="322"/>
      <c r="G6" s="322"/>
      <c r="H6" s="322"/>
      <c r="I6" s="322"/>
      <c r="J6" s="247"/>
      <c r="K6" s="323" t="str">
        <f>'درآمد سرمایه گذاری در سهام '!M7</f>
        <v>از ابتدای سال مالی تا پایان مهر ماه</v>
      </c>
      <c r="L6" s="323"/>
      <c r="M6" s="323"/>
      <c r="N6" s="323"/>
      <c r="O6" s="323"/>
      <c r="P6" s="323"/>
      <c r="Q6" s="323"/>
    </row>
    <row r="7" spans="1:17" ht="15.75" customHeight="1">
      <c r="A7" s="317"/>
      <c r="B7" s="318"/>
      <c r="C7" s="319" t="s">
        <v>12</v>
      </c>
      <c r="D7" s="319"/>
      <c r="E7" s="319" t="s">
        <v>10</v>
      </c>
      <c r="F7" s="286"/>
      <c r="G7" s="319" t="s">
        <v>11</v>
      </c>
      <c r="H7" s="317"/>
      <c r="I7" s="319" t="s">
        <v>2</v>
      </c>
      <c r="J7" s="246"/>
      <c r="K7" s="319" t="s">
        <v>12</v>
      </c>
      <c r="L7" s="319"/>
      <c r="M7" s="319" t="s">
        <v>10</v>
      </c>
      <c r="N7" s="286"/>
      <c r="O7" s="319" t="s">
        <v>11</v>
      </c>
      <c r="P7" s="317"/>
      <c r="Q7" s="319" t="s">
        <v>2</v>
      </c>
    </row>
    <row r="8" spans="1:17" ht="12" customHeight="1">
      <c r="A8" s="318"/>
      <c r="B8" s="318"/>
      <c r="C8" s="320"/>
      <c r="D8" s="320"/>
      <c r="E8" s="320"/>
      <c r="F8" s="324"/>
      <c r="G8" s="320"/>
      <c r="H8" s="318"/>
      <c r="I8" s="320"/>
      <c r="J8" s="246"/>
      <c r="K8" s="320"/>
      <c r="L8" s="320"/>
      <c r="M8" s="320"/>
      <c r="N8" s="324"/>
      <c r="O8" s="320"/>
      <c r="P8" s="318"/>
      <c r="Q8" s="320"/>
    </row>
    <row r="9" spans="1:17" ht="14.25" customHeight="1" thickBot="1">
      <c r="A9" s="318"/>
      <c r="B9" s="318"/>
      <c r="C9" s="248" t="s">
        <v>62</v>
      </c>
      <c r="D9" s="320"/>
      <c r="E9" s="248" t="s">
        <v>57</v>
      </c>
      <c r="F9" s="324"/>
      <c r="G9" s="248" t="s">
        <v>58</v>
      </c>
      <c r="H9" s="318"/>
      <c r="I9" s="321"/>
      <c r="J9" s="195"/>
      <c r="K9" s="248" t="s">
        <v>62</v>
      </c>
      <c r="L9" s="320"/>
      <c r="M9" s="248" t="s">
        <v>57</v>
      </c>
      <c r="N9" s="324"/>
      <c r="O9" s="248" t="s">
        <v>58</v>
      </c>
      <c r="P9" s="318"/>
      <c r="Q9" s="321"/>
    </row>
    <row r="10" spans="1:17" ht="21" customHeight="1">
      <c r="A10" s="169" t="s">
        <v>113</v>
      </c>
      <c r="B10" s="196"/>
      <c r="C10" s="32">
        <f>IFERROR(VLOOKUP(A10,'سود اوراق بهادار'!$A$8:$R$50,6,0),0)</f>
        <v>0</v>
      </c>
      <c r="D10" s="16"/>
      <c r="E10" s="32">
        <f>IFERROR(VLOOKUP(A10,'درآمد ناشی از تغییر قیمت  '!$A$7:$Q$109,9,0),0)</f>
        <v>12745022</v>
      </c>
      <c r="F10" s="16"/>
      <c r="G10" s="32">
        <f>IFERROR(VLOOKUP(A10,'درآمد ناشی ازفروش'!$A$7:$I$120,9,0),0)</f>
        <v>17523582</v>
      </c>
      <c r="H10" s="16"/>
      <c r="I10" s="32">
        <f>C10+E10+G10</f>
        <v>30268604</v>
      </c>
      <c r="J10" s="16"/>
      <c r="K10" s="32">
        <f>IFERROR(VLOOKUP(A10,'سود اوراق بهادار'!$A$8:$R$50,12,0),0)</f>
        <v>0</v>
      </c>
      <c r="L10" s="16"/>
      <c r="M10" s="32">
        <f>IFERROR(VLOOKUP(A10,'درآمد ناشی از تغییر قیمت  '!$A$7:$Q$109,17,0),0)</f>
        <v>846410873</v>
      </c>
      <c r="N10" s="16"/>
      <c r="O10" s="32">
        <f>IFERROR(VLOOKUP(A10,'درآمد ناشی ازفروش'!$A$7:$Q$120,17,0),0)</f>
        <v>-95251292</v>
      </c>
      <c r="P10" s="16"/>
      <c r="Q10" s="32">
        <f>K10+M10+O10</f>
        <v>751159581</v>
      </c>
    </row>
    <row r="11" spans="1:17" ht="21" customHeight="1">
      <c r="A11" s="169" t="s">
        <v>126</v>
      </c>
      <c r="B11" s="196"/>
      <c r="C11" s="32">
        <f>IFERROR(VLOOKUP(A11,'سود اوراق بهادار'!$A$8:$R$50,6,0),0)</f>
        <v>0</v>
      </c>
      <c r="D11" s="16"/>
      <c r="E11" s="32">
        <f>IFERROR(VLOOKUP(A11,'درآمد ناشی از تغییر قیمت  '!$A$7:$Q$109,9,0),0)</f>
        <v>37294152</v>
      </c>
      <c r="F11" s="16"/>
      <c r="G11" s="32">
        <f>IFERROR(VLOOKUP(A11,'درآمد ناشی ازفروش'!$A$7:$I$120,9,0),0)</f>
        <v>17262924</v>
      </c>
      <c r="H11" s="16"/>
      <c r="I11" s="32">
        <f t="shared" ref="I11:I14" si="0">C11+E11+G11</f>
        <v>54557076</v>
      </c>
      <c r="J11" s="16"/>
      <c r="K11" s="32">
        <f>IFERROR(VLOOKUP(A11,'سود اوراق بهادار'!$A$8:$R$50,12,0),0)</f>
        <v>0</v>
      </c>
      <c r="L11" s="16"/>
      <c r="M11" s="32">
        <f>IFERROR(VLOOKUP(A11,'درآمد ناشی از تغییر قیمت  '!$A$7:$Q$109,17,0),0)</f>
        <v>860433418</v>
      </c>
      <c r="N11" s="16"/>
      <c r="O11" s="32">
        <f>IFERROR(VLOOKUP(A11,'درآمد ناشی ازفروش'!$A$7:$Q$120,17,0),0)</f>
        <v>17262924</v>
      </c>
      <c r="P11" s="16"/>
      <c r="Q11" s="32">
        <f t="shared" ref="Q11:Q14" si="1">K11+M11+O11</f>
        <v>877696342</v>
      </c>
    </row>
    <row r="12" spans="1:17" ht="21" customHeight="1">
      <c r="A12" s="169" t="s">
        <v>112</v>
      </c>
      <c r="B12" s="196"/>
      <c r="C12" s="32">
        <f>IFERROR(VLOOKUP(A12,'سود اوراق بهادار'!$A$8:$R$50,6,0),0)</f>
        <v>0</v>
      </c>
      <c r="D12" s="16"/>
      <c r="E12" s="32">
        <f>IFERROR(VLOOKUP(A12,'درآمد ناشی از تغییر قیمت  '!$A$7:$Q$109,9,0),0)</f>
        <v>0</v>
      </c>
      <c r="F12" s="16"/>
      <c r="G12" s="32">
        <f>IFERROR(VLOOKUP(A12,'درآمد ناشی ازفروش'!$A$7:$I$120,9,0),0)</f>
        <v>0</v>
      </c>
      <c r="H12" s="16"/>
      <c r="I12" s="32">
        <f t="shared" si="0"/>
        <v>0</v>
      </c>
      <c r="J12" s="16"/>
      <c r="K12" s="32">
        <f>IFERROR(VLOOKUP(A12,'سود اوراق بهادار'!$A$8:$R$50,12,0),0)</f>
        <v>0</v>
      </c>
      <c r="L12" s="16"/>
      <c r="M12" s="32">
        <f>IFERROR(VLOOKUP(A12,'درآمد ناشی از تغییر قیمت  '!$A$7:$Q$109,17,0),0)</f>
        <v>0</v>
      </c>
      <c r="N12" s="16"/>
      <c r="O12" s="32">
        <f>IFERROR(VLOOKUP(A12,'درآمد ناشی ازفروش'!$A$7:$Q$120,17,0),0)</f>
        <v>532189472</v>
      </c>
      <c r="P12" s="16"/>
      <c r="Q12" s="32">
        <f t="shared" si="1"/>
        <v>532189472</v>
      </c>
    </row>
    <row r="13" spans="1:17" ht="21" customHeight="1">
      <c r="A13" s="169" t="s">
        <v>107</v>
      </c>
      <c r="B13" s="196"/>
      <c r="C13" s="32">
        <f>IFERROR(VLOOKUP(A13,'سود اوراق بهادار'!$A$8:$R$50,6,0),0)</f>
        <v>0</v>
      </c>
      <c r="D13" s="16"/>
      <c r="E13" s="32">
        <f>IFERROR(VLOOKUP(A13,'درآمد ناشی از تغییر قیمت  '!$A$7:$Q$109,9,0),0)</f>
        <v>0</v>
      </c>
      <c r="F13" s="16"/>
      <c r="G13" s="32">
        <f>IFERROR(VLOOKUP(A13,'درآمد ناشی ازفروش'!$A$7:$I$120,9,0),0)</f>
        <v>0</v>
      </c>
      <c r="H13" s="16"/>
      <c r="I13" s="32">
        <f t="shared" si="0"/>
        <v>0</v>
      </c>
      <c r="J13" s="16"/>
      <c r="K13" s="32">
        <f>IFERROR(VLOOKUP(A13,'سود اوراق بهادار'!$A$8:$R$50,12,0),0)</f>
        <v>0</v>
      </c>
      <c r="L13" s="16"/>
      <c r="M13" s="32">
        <f>IFERROR(VLOOKUP(A13,'درآمد ناشی از تغییر قیمت  '!$A$7:$Q$109,17,0),0)</f>
        <v>0</v>
      </c>
      <c r="N13" s="16"/>
      <c r="O13" s="32">
        <f>IFERROR(VLOOKUP(A13,'درآمد ناشی ازفروش'!$A$7:$Q$120,17,0),0)</f>
        <v>137607570</v>
      </c>
      <c r="P13" s="16"/>
      <c r="Q13" s="32">
        <f t="shared" si="1"/>
        <v>137607570</v>
      </c>
    </row>
    <row r="14" spans="1:17" ht="21" customHeight="1">
      <c r="A14" s="169" t="s">
        <v>111</v>
      </c>
      <c r="B14" s="196"/>
      <c r="C14" s="32">
        <f>IFERROR(VLOOKUP(A14,'سود اوراق بهادار'!$A$8:$R$50,6,0),0)</f>
        <v>0</v>
      </c>
      <c r="D14" s="16"/>
      <c r="E14" s="32">
        <f>IFERROR(VLOOKUP(A14,'درآمد ناشی از تغییر قیمت  '!$A$7:$Q$109,9,0),0)</f>
        <v>146000219</v>
      </c>
      <c r="F14" s="16"/>
      <c r="G14" s="32">
        <f>IFERROR(VLOOKUP(A14,'درآمد ناشی ازفروش'!$A$7:$I$120,9,0),0)</f>
        <v>32393412</v>
      </c>
      <c r="H14" s="16"/>
      <c r="I14" s="32">
        <f t="shared" si="0"/>
        <v>178393631</v>
      </c>
      <c r="J14" s="16"/>
      <c r="K14" s="32">
        <f>IFERROR(VLOOKUP(A14,'سود اوراق بهادار'!$A$8:$R$50,12,0),0)</f>
        <v>0</v>
      </c>
      <c r="L14" s="16"/>
      <c r="M14" s="32">
        <f>IFERROR(VLOOKUP(A14,'درآمد ناشی از تغییر قیمت  '!$A$7:$Q$109,17,0),0)</f>
        <v>1637680061</v>
      </c>
      <c r="N14" s="16"/>
      <c r="O14" s="32">
        <f>IFERROR(VLOOKUP(A14,'درآمد ناشی ازفروش'!$A$7:$Q$120,17,0),0)</f>
        <v>165986712</v>
      </c>
      <c r="P14" s="16"/>
      <c r="Q14" s="32">
        <f t="shared" si="1"/>
        <v>1803666773</v>
      </c>
    </row>
    <row r="15" spans="1:17" ht="21" customHeight="1" thickBot="1">
      <c r="A15" s="197" t="s">
        <v>2</v>
      </c>
      <c r="B15" s="198"/>
      <c r="C15" s="74">
        <f>SUM(C10:C14)</f>
        <v>0</v>
      </c>
      <c r="D15" s="354">
        <f t="shared" ref="D15:P15" si="2">SUM(D10:D10)</f>
        <v>0</v>
      </c>
      <c r="E15" s="74">
        <f>SUM(E10:E14)</f>
        <v>196039393</v>
      </c>
      <c r="F15" s="354">
        <f t="shared" si="2"/>
        <v>0</v>
      </c>
      <c r="G15" s="74">
        <f>SUM(G10:G14)</f>
        <v>67179918</v>
      </c>
      <c r="H15" s="354">
        <f t="shared" si="2"/>
        <v>0</v>
      </c>
      <c r="I15" s="74">
        <f>SUM(I10:I14)</f>
        <v>263219311</v>
      </c>
      <c r="J15" s="354">
        <f t="shared" si="2"/>
        <v>0</v>
      </c>
      <c r="K15" s="74">
        <f>SUM(K10:K14)</f>
        <v>0</v>
      </c>
      <c r="L15" s="354">
        <f t="shared" si="2"/>
        <v>0</v>
      </c>
      <c r="M15" s="74">
        <f>SUM(M10:M14)</f>
        <v>3344524352</v>
      </c>
      <c r="N15" s="354">
        <f t="shared" si="2"/>
        <v>0</v>
      </c>
      <c r="O15" s="74">
        <f>SUM(O10:O14)</f>
        <v>757795386</v>
      </c>
      <c r="P15" s="354">
        <f t="shared" si="2"/>
        <v>0</v>
      </c>
      <c r="Q15" s="74">
        <f>SUM(Q10:Q14)</f>
        <v>4102319738</v>
      </c>
    </row>
    <row r="16" spans="1:17" ht="22.5" thickTop="1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</row>
    <row r="17" spans="7:17" s="16" customFormat="1"/>
    <row r="18" spans="7:17" s="16" customFormat="1"/>
    <row r="19" spans="7:17" s="16" customFormat="1"/>
    <row r="20" spans="7:17">
      <c r="G20" s="200"/>
      <c r="O20" s="200"/>
    </row>
    <row r="21" spans="7:17">
      <c r="G21" s="200"/>
      <c r="O21" s="199"/>
      <c r="Q21" s="199"/>
    </row>
    <row r="22" spans="7:17">
      <c r="O22" s="200"/>
      <c r="Q22" s="200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L16"/>
  <sheetViews>
    <sheetView rightToLeft="1" view="pageBreakPreview" zoomScaleNormal="100" zoomScaleSheetLayoutView="100" workbookViewId="0">
      <selection activeCell="K15" sqref="K15"/>
    </sheetView>
  </sheetViews>
  <sheetFormatPr defaultColWidth="9.140625" defaultRowHeight="21.75"/>
  <cols>
    <col min="1" max="1" width="35.85546875" style="149" bestFit="1" customWidth="1"/>
    <col min="2" max="2" width="0.7109375" style="149" customWidth="1"/>
    <col min="3" max="3" width="18.42578125" style="45" customWidth="1"/>
    <col min="4" max="4" width="1.42578125" style="45" customWidth="1"/>
    <col min="5" max="5" width="16.85546875" style="45" customWidth="1"/>
    <col min="6" max="6" width="1.42578125" style="45" customWidth="1"/>
    <col min="7" max="7" width="18" style="45" customWidth="1"/>
    <col min="8" max="8" width="1.28515625" style="149" customWidth="1"/>
    <col min="9" max="9" width="16.42578125" style="149" customWidth="1"/>
    <col min="10" max="10" width="0.7109375" style="149" customWidth="1"/>
    <col min="11" max="11" width="9.7109375" style="149" customWidth="1"/>
    <col min="12" max="12" width="15.42578125" style="149" bestFit="1" customWidth="1"/>
    <col min="13" max="16384" width="9.140625" style="149"/>
  </cols>
  <sheetData>
    <row r="1" spans="1:12" ht="22.5">
      <c r="A1" s="322" t="s">
        <v>86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2" ht="22.5">
      <c r="A2" s="322" t="s">
        <v>52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2" ht="22.5">
      <c r="A3" s="322" t="str">
        <f>' سهام'!A3:W3</f>
        <v>برای ماه منتهی به 1403/07/30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2">
      <c r="A4" s="288" t="s">
        <v>27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2" ht="22.5" thickBot="1">
      <c r="A5" s="165"/>
      <c r="B5" s="165"/>
      <c r="C5" s="11"/>
      <c r="D5" s="11"/>
      <c r="E5" s="11"/>
      <c r="F5" s="11"/>
      <c r="G5" s="11"/>
      <c r="H5" s="165"/>
      <c r="I5" s="165"/>
      <c r="J5" s="165"/>
    </row>
    <row r="6" spans="1:12" ht="37.5" customHeight="1" thickBot="1">
      <c r="A6" s="325" t="s">
        <v>17</v>
      </c>
      <c r="B6" s="325"/>
      <c r="C6" s="326" t="str">
        <f>'درآمد سرمایه گذاری در سهام '!C7</f>
        <v>طی مهر ماه</v>
      </c>
      <c r="D6" s="326"/>
      <c r="E6" s="326"/>
      <c r="F6" s="326"/>
      <c r="G6" s="325" t="str">
        <f>'درآمد سرمایه گذاری در سهام '!M7</f>
        <v>از ابتدای سال مالی تا پایان مهر ماه</v>
      </c>
      <c r="H6" s="325"/>
      <c r="I6" s="325"/>
      <c r="J6" s="325"/>
    </row>
    <row r="7" spans="1:12" ht="37.5">
      <c r="A7" s="201" t="s">
        <v>13</v>
      </c>
      <c r="B7" s="247"/>
      <c r="C7" s="42" t="s">
        <v>14</v>
      </c>
      <c r="D7" s="43"/>
      <c r="E7" s="42" t="s">
        <v>15</v>
      </c>
      <c r="F7" s="44"/>
      <c r="G7" s="42" t="s">
        <v>14</v>
      </c>
      <c r="H7" s="247"/>
      <c r="I7" s="201" t="s">
        <v>15</v>
      </c>
      <c r="J7" s="247"/>
    </row>
    <row r="8" spans="1:12" ht="33" customHeight="1">
      <c r="A8" s="202" t="s">
        <v>152</v>
      </c>
      <c r="B8" s="196"/>
      <c r="C8" s="12">
        <f>VLOOKUP(A8,'سود سپرده بانکی'!$A$7:$L$31,6,0)</f>
        <v>0</v>
      </c>
      <c r="D8" s="196"/>
      <c r="E8" s="203">
        <f>C8/$C$11</f>
        <v>0</v>
      </c>
      <c r="F8" s="196"/>
      <c r="G8" s="12">
        <f>VLOOKUP(A8,'سود سپرده بانکی'!$A$7:$L$31,12,0)</f>
        <v>241779244</v>
      </c>
      <c r="H8" s="196"/>
      <c r="I8" s="203">
        <f>G8/$G$11</f>
        <v>0.42949129590125751</v>
      </c>
      <c r="J8" s="247"/>
      <c r="K8" s="200"/>
      <c r="L8" s="200"/>
    </row>
    <row r="9" spans="1:12" ht="27" customHeight="1">
      <c r="A9" s="202" t="s">
        <v>95</v>
      </c>
      <c r="B9" s="196"/>
      <c r="C9" s="12">
        <f>VLOOKUP(A9,'سود سپرده بانکی'!$A$7:$L$31,6,0)</f>
        <v>1189521.4736842103</v>
      </c>
      <c r="D9" s="196"/>
      <c r="E9" s="203">
        <f t="shared" ref="E9:E10" si="0">C9/$C$11</f>
        <v>0.21136237939887639</v>
      </c>
      <c r="F9" s="196"/>
      <c r="G9" s="12">
        <f>VLOOKUP(A9,'سود سپرده بانکی'!$A$7:$L$31,12,0)</f>
        <v>67733228.789473683</v>
      </c>
      <c r="H9" s="196"/>
      <c r="I9" s="203">
        <f t="shared" ref="I9:I10" si="1">G9/$G$11</f>
        <v>0.12031980796650772</v>
      </c>
      <c r="J9" s="247"/>
      <c r="K9" s="200"/>
      <c r="L9" s="200"/>
    </row>
    <row r="10" spans="1:12" ht="27" customHeight="1" thickBot="1">
      <c r="A10" s="202" t="s">
        <v>141</v>
      </c>
      <c r="B10" s="196"/>
      <c r="C10" s="12">
        <f>VLOOKUP(A10,'سود سپرده بانکی'!$A$7:$L$31,6,0)</f>
        <v>4438355.5263157897</v>
      </c>
      <c r="D10" s="196"/>
      <c r="E10" s="203">
        <f t="shared" si="0"/>
        <v>0.78863762060112363</v>
      </c>
      <c r="F10" s="196"/>
      <c r="G10" s="12">
        <f>VLOOKUP(A10,'سود سپرده بانکی'!$A$7:$L$31,12,0)</f>
        <v>253430819.21052632</v>
      </c>
      <c r="H10" s="196"/>
      <c r="I10" s="203">
        <f t="shared" si="1"/>
        <v>0.45018889613223478</v>
      </c>
      <c r="J10" s="247"/>
      <c r="K10" s="200"/>
      <c r="L10" s="200"/>
    </row>
    <row r="11" spans="1:12" ht="22.5" thickBot="1">
      <c r="A11" s="197" t="s">
        <v>2</v>
      </c>
      <c r="B11" s="198"/>
      <c r="C11" s="67">
        <f>SUM(C8:C10)</f>
        <v>5627877</v>
      </c>
      <c r="D11" s="196"/>
      <c r="E11" s="70">
        <f>SUM(E8:E10)</f>
        <v>1</v>
      </c>
      <c r="F11" s="196"/>
      <c r="G11" s="67">
        <f>SUM(G8:G10)</f>
        <v>562943292</v>
      </c>
      <c r="H11" s="196"/>
      <c r="I11" s="70">
        <f>SUM(I8:I10)</f>
        <v>1</v>
      </c>
      <c r="J11" s="247"/>
    </row>
    <row r="12" spans="1:12" ht="22.5" thickTop="1">
      <c r="D12" s="196"/>
      <c r="F12" s="196"/>
      <c r="H12" s="196"/>
    </row>
    <row r="13" spans="1:12">
      <c r="C13" s="199"/>
      <c r="D13" s="149"/>
      <c r="E13" s="149"/>
      <c r="F13" s="149"/>
      <c r="G13" s="199"/>
    </row>
    <row r="14" spans="1:12">
      <c r="C14" s="12"/>
      <c r="D14" s="12"/>
      <c r="E14" s="12"/>
      <c r="F14" s="12"/>
      <c r="G14" s="12"/>
      <c r="H14" s="12"/>
      <c r="I14" s="12"/>
    </row>
    <row r="15" spans="1:12">
      <c r="C15" s="12"/>
      <c r="D15" s="12"/>
      <c r="E15" s="12"/>
      <c r="F15" s="12"/>
      <c r="G15" s="12"/>
      <c r="H15" s="12"/>
      <c r="I15" s="12"/>
    </row>
    <row r="16" spans="1:12">
      <c r="C16" s="16"/>
      <c r="G16" s="16"/>
    </row>
  </sheetData>
  <autoFilter ref="A7:J7" xr:uid="{00000000-0009-0000-0000-00000B000000}">
    <sortState xmlns:xlrd2="http://schemas.microsoft.com/office/spreadsheetml/2017/richdata2" ref="A8:J15">
      <sortCondition descending="1" ref="G7"/>
    </sortState>
  </autoFilter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 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Bakhtiari</cp:lastModifiedBy>
  <cp:lastPrinted>2023-10-25T16:54:14Z</cp:lastPrinted>
  <dcterms:created xsi:type="dcterms:W3CDTF">2017-11-22T14:26:20Z</dcterms:created>
  <dcterms:modified xsi:type="dcterms:W3CDTF">2024-10-29T09:11:45Z</dcterms:modified>
</cp:coreProperties>
</file>