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06- شهریور\"/>
    </mc:Choice>
  </mc:AlternateContent>
  <xr:revisionPtr revIDLastSave="0" documentId="13_ncr:1_{99508186-E934-49A4-AA92-92CDB59435E4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سهام'!$A$9:$W$9</definedName>
    <definedName name="_xlnm._FilterDatabase" localSheetId="3" hidden="1">'تعدیل اوراق'!$A$9:$M$9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'!$W$10:$X$30</definedName>
    <definedName name="_xlnm._FilterDatabase" localSheetId="10" hidden="1">'درآمد سود سهام'!$A$7:$S$7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ازفروش'!$A$6:$Q$6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بانکی'!$A$6:$L$6</definedName>
    <definedName name="a">#REF!</definedName>
    <definedName name="bb">#REF!</definedName>
    <definedName name="_xlnm.Print_Area" localSheetId="1">' سهام'!$A$1:$W$34</definedName>
    <definedName name="_xlnm.Print_Area" localSheetId="2">اوراق!$A$1:$AG$13</definedName>
    <definedName name="_xlnm.Print_Area" localSheetId="3">'تعدیل اوراق'!$A$1:$M$11</definedName>
    <definedName name="_xlnm.Print_Area" localSheetId="8">'درآمد سپرده بانکی'!$A$1:$J$12</definedName>
    <definedName name="_xlnm.Print_Area" localSheetId="7">'درآمد سرمایه گذاری در اوراق بها'!$A$1:$Q$16</definedName>
    <definedName name="_xlnm.Print_Area" localSheetId="6">'درآمد سرمایه گذاری در سهام '!$A$1:$U$43</definedName>
    <definedName name="_xlnm.Print_Area" localSheetId="10">'درآمد سود سهام'!$A$1:$S$26</definedName>
    <definedName name="_xlnm.Print_Area" localSheetId="14">'درآمد ناشی از تغییر قیمت  '!$A$1:$Q$38</definedName>
    <definedName name="_xlnm.Print_Area" localSheetId="13">'درآمد ناشی ازفروش'!$A$1:$Q$44</definedName>
    <definedName name="_xlnm.Print_Area" localSheetId="5">درآمدها!$A$1:$I$13</definedName>
    <definedName name="_xlnm.Print_Area" localSheetId="0">روکش!$A$1:$J$36</definedName>
    <definedName name="_xlnm.Print_Area" localSheetId="9">'سایر درآمدها'!$A$1:$E$12</definedName>
    <definedName name="_xlnm.Print_Area" localSheetId="4">سپرده!$A$1:$K$14</definedName>
    <definedName name="_xlnm.Print_Area" localSheetId="11">'سود اوراق بهادار'!$A$1:$R$12</definedName>
    <definedName name="_xlnm.Print_Area" localSheetId="12">'سود سپرده بانکی'!$A$1:$L$12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O33" i="14" l="1"/>
  <c r="G33" i="14"/>
  <c r="Q39" i="15"/>
  <c r="O39" i="15"/>
  <c r="M39" i="15"/>
  <c r="G3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7" i="15"/>
  <c r="L8" i="21"/>
  <c r="L9" i="21"/>
  <c r="L7" i="21"/>
  <c r="F7" i="21"/>
  <c r="F8" i="21"/>
  <c r="F9" i="21"/>
  <c r="F10" i="21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8" i="18"/>
  <c r="J10" i="21"/>
  <c r="H10" i="21"/>
  <c r="D10" i="21"/>
  <c r="B10" i="21"/>
  <c r="Q26" i="18"/>
  <c r="O26" i="18"/>
  <c r="M26" i="18"/>
  <c r="K26" i="18"/>
  <c r="I26" i="18"/>
  <c r="E11" i="8"/>
  <c r="C11" i="8"/>
  <c r="K15" i="6"/>
  <c r="C15" i="6"/>
  <c r="K10" i="2"/>
  <c r="K11" i="2"/>
  <c r="K9" i="2"/>
  <c r="K12" i="2" s="1"/>
  <c r="I12" i="2"/>
  <c r="G12" i="2"/>
  <c r="E12" i="2"/>
  <c r="C12" i="2"/>
  <c r="AG10" i="17"/>
  <c r="AG11" i="17"/>
  <c r="AG9" i="17"/>
  <c r="AE12" i="17"/>
  <c r="AC12" i="17"/>
  <c r="W12" i="17"/>
  <c r="T12" i="17"/>
  <c r="Q12" i="17"/>
  <c r="O12" i="17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10" i="1"/>
  <c r="U33" i="1"/>
  <c r="S33" i="1"/>
  <c r="M33" i="1"/>
  <c r="J33" i="1"/>
  <c r="G33" i="1"/>
  <c r="E33" i="1"/>
  <c r="AG12" i="17" l="1"/>
  <c r="W33" i="1"/>
  <c r="L10" i="21"/>
  <c r="O36" i="5"/>
  <c r="M36" i="5"/>
  <c r="E36" i="5"/>
  <c r="E40" i="5"/>
  <c r="C36" i="5"/>
  <c r="C38" i="5"/>
  <c r="C40" i="5"/>
  <c r="E10" i="6"/>
  <c r="E12" i="6"/>
  <c r="M26" i="14"/>
  <c r="M27" i="14"/>
  <c r="M28" i="14"/>
  <c r="K26" i="14"/>
  <c r="K27" i="14"/>
  <c r="K28" i="14"/>
  <c r="E26" i="14"/>
  <c r="E27" i="14"/>
  <c r="E28" i="14"/>
  <c r="C26" i="14"/>
  <c r="C27" i="14"/>
  <c r="C28" i="14"/>
  <c r="Q36" i="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M19" i="18"/>
  <c r="M20" i="18"/>
  <c r="M21" i="18"/>
  <c r="M38" i="5"/>
  <c r="M6" i="17"/>
  <c r="M40" i="5"/>
  <c r="M41" i="5"/>
  <c r="M29" i="14"/>
  <c r="Q29" i="14" s="1"/>
  <c r="K29" i="14"/>
  <c r="E29" i="14"/>
  <c r="C29" i="14"/>
  <c r="C7" i="14"/>
  <c r="I29" i="14" l="1"/>
  <c r="I28" i="14"/>
  <c r="E39" i="5" s="1"/>
  <c r="Q28" i="14"/>
  <c r="O39" i="5" s="1"/>
  <c r="I27" i="14"/>
  <c r="E38" i="5" s="1"/>
  <c r="Q27" i="14"/>
  <c r="O38" i="5" s="1"/>
  <c r="I26" i="14"/>
  <c r="E37" i="5" s="1"/>
  <c r="Q26" i="14"/>
  <c r="O37" i="5" s="1"/>
  <c r="S36" i="5"/>
  <c r="U36" i="5" s="1"/>
  <c r="O41" i="5"/>
  <c r="O40" i="5"/>
  <c r="M31" i="14"/>
  <c r="Q31" i="14" s="1"/>
  <c r="M32" i="14"/>
  <c r="Q32" i="14" s="1"/>
  <c r="M30" i="14"/>
  <c r="Q30" i="14" s="1"/>
  <c r="E30" i="14"/>
  <c r="M8" i="14"/>
  <c r="Q8" i="14" s="1"/>
  <c r="M9" i="14"/>
  <c r="Q9" i="14" s="1"/>
  <c r="M10" i="14"/>
  <c r="Q10" i="14" s="1"/>
  <c r="M11" i="14"/>
  <c r="Q11" i="14" s="1"/>
  <c r="M12" i="14"/>
  <c r="Q12" i="14" s="1"/>
  <c r="M13" i="14"/>
  <c r="Q13" i="14" s="1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Q22" i="14" s="1"/>
  <c r="M23" i="14"/>
  <c r="Q23" i="14" s="1"/>
  <c r="M24" i="14"/>
  <c r="Q24" i="14" s="1"/>
  <c r="M25" i="14"/>
  <c r="Q25" i="14" s="1"/>
  <c r="M7" i="14"/>
  <c r="E7" i="14"/>
  <c r="K32" i="14"/>
  <c r="K31" i="14"/>
  <c r="K30" i="14"/>
  <c r="C30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7" i="14"/>
  <c r="E31" i="14"/>
  <c r="E32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C31" i="14"/>
  <c r="C32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E36" i="15"/>
  <c r="I36" i="15" s="1"/>
  <c r="E37" i="15"/>
  <c r="I37" i="15" s="1"/>
  <c r="E38" i="15"/>
  <c r="I38" i="15" s="1"/>
  <c r="E35" i="15"/>
  <c r="I35" i="15" s="1"/>
  <c r="E8" i="15"/>
  <c r="I8" i="15" s="1"/>
  <c r="E9" i="15"/>
  <c r="I9" i="15" s="1"/>
  <c r="E10" i="15"/>
  <c r="I10" i="15" s="1"/>
  <c r="E11" i="15"/>
  <c r="I11" i="15" s="1"/>
  <c r="E12" i="15"/>
  <c r="I12" i="15" s="1"/>
  <c r="E13" i="15"/>
  <c r="I13" i="15" s="1"/>
  <c r="E14" i="15"/>
  <c r="I14" i="15" s="1"/>
  <c r="E15" i="15"/>
  <c r="I15" i="15" s="1"/>
  <c r="E16" i="15"/>
  <c r="I16" i="15" s="1"/>
  <c r="E17" i="15"/>
  <c r="I17" i="15" s="1"/>
  <c r="E18" i="15"/>
  <c r="I18" i="15" s="1"/>
  <c r="E19" i="15"/>
  <c r="I19" i="15" s="1"/>
  <c r="E20" i="15"/>
  <c r="I20" i="15" s="1"/>
  <c r="E21" i="15"/>
  <c r="I21" i="15" s="1"/>
  <c r="E22" i="15"/>
  <c r="I22" i="15" s="1"/>
  <c r="E23" i="15"/>
  <c r="I23" i="15" s="1"/>
  <c r="E24" i="15"/>
  <c r="I24" i="15" s="1"/>
  <c r="E25" i="15"/>
  <c r="I25" i="15" s="1"/>
  <c r="E26" i="15"/>
  <c r="I26" i="15" s="1"/>
  <c r="E27" i="15"/>
  <c r="I27" i="15" s="1"/>
  <c r="E28" i="15"/>
  <c r="I28" i="15" s="1"/>
  <c r="E29" i="15"/>
  <c r="I29" i="15" s="1"/>
  <c r="E30" i="15"/>
  <c r="I30" i="15" s="1"/>
  <c r="E31" i="15"/>
  <c r="I31" i="15" s="1"/>
  <c r="E32" i="15"/>
  <c r="I32" i="15" s="1"/>
  <c r="E33" i="15"/>
  <c r="I33" i="15" s="1"/>
  <c r="E34" i="15"/>
  <c r="I34" i="15" s="1"/>
  <c r="E7" i="15"/>
  <c r="I32" i="14" l="1"/>
  <c r="I31" i="14"/>
  <c r="I30" i="14"/>
  <c r="I25" i="14"/>
  <c r="I13" i="14"/>
  <c r="I24" i="14"/>
  <c r="I20" i="14"/>
  <c r="I16" i="14"/>
  <c r="I12" i="14"/>
  <c r="I8" i="14"/>
  <c r="I17" i="14"/>
  <c r="I9" i="14"/>
  <c r="I23" i="14"/>
  <c r="I19" i="14"/>
  <c r="I15" i="14"/>
  <c r="I11" i="14"/>
  <c r="I21" i="14"/>
  <c r="I22" i="14"/>
  <c r="I18" i="14"/>
  <c r="I14" i="14"/>
  <c r="I10" i="14"/>
  <c r="E33" i="14"/>
  <c r="I7" i="14"/>
  <c r="I33" i="14" s="1"/>
  <c r="E39" i="15"/>
  <c r="I7" i="15"/>
  <c r="I39" i="15" s="1"/>
  <c r="M33" i="14"/>
  <c r="Q7" i="14"/>
  <c r="Q33" i="14" s="1"/>
  <c r="M11" i="18"/>
  <c r="M18" i="18" l="1"/>
  <c r="M9" i="18" l="1"/>
  <c r="M10" i="18"/>
  <c r="M12" i="18"/>
  <c r="C39" i="5" s="1"/>
  <c r="M13" i="18"/>
  <c r="M14" i="18"/>
  <c r="C37" i="5" s="1"/>
  <c r="M15" i="18"/>
  <c r="M16" i="18"/>
  <c r="M17" i="18"/>
  <c r="M22" i="18"/>
  <c r="M23" i="18"/>
  <c r="M24" i="18"/>
  <c r="M25" i="18"/>
  <c r="M8" i="18"/>
  <c r="M11" i="5" l="1"/>
  <c r="Y6" i="17"/>
  <c r="C8" i="7"/>
  <c r="C9" i="7"/>
  <c r="C10" i="7"/>
  <c r="Q37" i="5"/>
  <c r="G37" i="5"/>
  <c r="I37" i="5" s="1"/>
  <c r="K37" i="5" s="1"/>
  <c r="M14" i="5"/>
  <c r="M13" i="5"/>
  <c r="M37" i="5"/>
  <c r="S37" i="5" l="1"/>
  <c r="U37" i="5" s="1"/>
  <c r="C11" i="7"/>
  <c r="E9" i="7" s="1"/>
  <c r="S26" i="18"/>
  <c r="E8" i="7" l="1"/>
  <c r="E10" i="7"/>
  <c r="C10" i="6"/>
  <c r="A3" i="14"/>
  <c r="A3" i="15"/>
  <c r="A3" i="21"/>
  <c r="A3" i="13"/>
  <c r="A3" i="18"/>
  <c r="E11" i="7" l="1"/>
  <c r="O12" i="5"/>
  <c r="O34" i="5"/>
  <c r="E12" i="5"/>
  <c r="E34" i="5"/>
  <c r="E41" i="5"/>
  <c r="C11" i="5"/>
  <c r="C12" i="5"/>
  <c r="C16" i="5"/>
  <c r="G11" i="6"/>
  <c r="G13" i="6"/>
  <c r="G12" i="5"/>
  <c r="G14" i="5"/>
  <c r="G16" i="5"/>
  <c r="G25" i="5"/>
  <c r="G38" i="5"/>
  <c r="Q17" i="5"/>
  <c r="Q23" i="5"/>
  <c r="Q19" i="5"/>
  <c r="Q12" i="5"/>
  <c r="Q28" i="5"/>
  <c r="Q30" i="5"/>
  <c r="Q22" i="5"/>
  <c r="Q14" i="5"/>
  <c r="Q16" i="5"/>
  <c r="Q25" i="5"/>
  <c r="Q29" i="5"/>
  <c r="Q38" i="5"/>
  <c r="S38" i="5" s="1"/>
  <c r="U38" i="5" s="1"/>
  <c r="Q32" i="5"/>
  <c r="C13" i="5"/>
  <c r="C15" i="5"/>
  <c r="I38" i="5" l="1"/>
  <c r="K38" i="5" s="1"/>
  <c r="I12" i="5"/>
  <c r="K12" i="5" s="1"/>
  <c r="G32" i="5"/>
  <c r="G29" i="5"/>
  <c r="G30" i="5"/>
  <c r="G19" i="5"/>
  <c r="Q27" i="5"/>
  <c r="Q20" i="5"/>
  <c r="Q26" i="5"/>
  <c r="Q41" i="5"/>
  <c r="S41" i="5" s="1"/>
  <c r="U41" i="5" s="1"/>
  <c r="Q40" i="5"/>
  <c r="S40" i="5" s="1"/>
  <c r="U40" i="5" s="1"/>
  <c r="Q33" i="5"/>
  <c r="Q35" i="5"/>
  <c r="Q21" i="5"/>
  <c r="Q31" i="5"/>
  <c r="Q34" i="5"/>
  <c r="Q24" i="5"/>
  <c r="G10" i="6"/>
  <c r="G14" i="6"/>
  <c r="G22" i="5"/>
  <c r="G20" i="5"/>
  <c r="G24" i="5"/>
  <c r="G21" i="5"/>
  <c r="G31" i="5"/>
  <c r="G27" i="5"/>
  <c r="G33" i="5"/>
  <c r="G35" i="5"/>
  <c r="G23" i="5"/>
  <c r="G18" i="5"/>
  <c r="G34" i="5"/>
  <c r="G36" i="5"/>
  <c r="G12" i="6"/>
  <c r="I12" i="6" s="1"/>
  <c r="G26" i="5"/>
  <c r="Q18" i="5"/>
  <c r="G41" i="5"/>
  <c r="G40" i="5"/>
  <c r="G11" i="5"/>
  <c r="Q11" i="5"/>
  <c r="Q13" i="5"/>
  <c r="Q39" i="5"/>
  <c r="G13" i="5"/>
  <c r="G39" i="5"/>
  <c r="I39" i="5" s="1"/>
  <c r="K39" i="5" s="1"/>
  <c r="C14" i="5"/>
  <c r="K5" i="14"/>
  <c r="K5" i="15"/>
  <c r="H5" i="21"/>
  <c r="N6" i="13"/>
  <c r="E5" i="8"/>
  <c r="G6" i="7"/>
  <c r="C5" i="14"/>
  <c r="C5" i="15"/>
  <c r="B5" i="21"/>
  <c r="H6" i="13"/>
  <c r="C5" i="8"/>
  <c r="C6" i="6"/>
  <c r="K6" i="6"/>
  <c r="C6" i="7"/>
  <c r="O14" i="6"/>
  <c r="O13" i="6"/>
  <c r="O12" i="6"/>
  <c r="O11" i="6"/>
  <c r="O10" i="6"/>
  <c r="K11" i="6"/>
  <c r="K12" i="6"/>
  <c r="K13" i="6"/>
  <c r="K14" i="6"/>
  <c r="K10" i="6"/>
  <c r="C11" i="6"/>
  <c r="C12" i="6"/>
  <c r="C13" i="6"/>
  <c r="C14" i="6"/>
  <c r="M19" i="5"/>
  <c r="M22" i="5"/>
  <c r="M23" i="5"/>
  <c r="M25" i="5"/>
  <c r="M26" i="5"/>
  <c r="M28" i="5"/>
  <c r="M29" i="5"/>
  <c r="M30" i="5"/>
  <c r="M33" i="5"/>
  <c r="M34" i="5"/>
  <c r="M12" i="5"/>
  <c r="M16" i="5"/>
  <c r="M17" i="5"/>
  <c r="C28" i="5"/>
  <c r="C29" i="5"/>
  <c r="C30" i="5"/>
  <c r="C31" i="5"/>
  <c r="C32" i="5"/>
  <c r="C33" i="5"/>
  <c r="C34" i="5"/>
  <c r="C35" i="5"/>
  <c r="C41" i="5"/>
  <c r="C22" i="5"/>
  <c r="C23" i="5"/>
  <c r="C24" i="5"/>
  <c r="C25" i="5"/>
  <c r="C26" i="5"/>
  <c r="C27" i="5"/>
  <c r="C17" i="5"/>
  <c r="C18" i="5"/>
  <c r="C19" i="5"/>
  <c r="C20" i="5"/>
  <c r="C21" i="5"/>
  <c r="Q9" i="13"/>
  <c r="P9" i="13"/>
  <c r="N9" i="13"/>
  <c r="J9" i="13"/>
  <c r="H9" i="13"/>
  <c r="R8" i="13"/>
  <c r="R9" i="13" s="1"/>
  <c r="L8" i="13"/>
  <c r="L9" i="13" s="1"/>
  <c r="K10" i="21"/>
  <c r="G9" i="7"/>
  <c r="G8" i="7"/>
  <c r="I34" i="5" l="1"/>
  <c r="K34" i="5" s="1"/>
  <c r="I41" i="5"/>
  <c r="K41" i="5" s="1"/>
  <c r="S34" i="5"/>
  <c r="U34" i="5" s="1"/>
  <c r="I40" i="5"/>
  <c r="K40" i="5" s="1"/>
  <c r="G15" i="6"/>
  <c r="I10" i="6"/>
  <c r="I36" i="5"/>
  <c r="K36" i="5" s="1"/>
  <c r="O15" i="6"/>
  <c r="S12" i="5"/>
  <c r="C42" i="5"/>
  <c r="G28" i="5"/>
  <c r="G10" i="7"/>
  <c r="M35" i="5"/>
  <c r="M20" i="5"/>
  <c r="M27" i="5"/>
  <c r="K10" i="20"/>
  <c r="K11" i="20" s="1"/>
  <c r="G11" i="7" l="1"/>
  <c r="U12" i="5"/>
  <c r="M31" i="5"/>
  <c r="M32" i="5"/>
  <c r="M39" i="5"/>
  <c r="S39" i="5" s="1"/>
  <c r="U39" i="5" s="1"/>
  <c r="M15" i="5"/>
  <c r="M21" i="5"/>
  <c r="Q15" i="5"/>
  <c r="Q42" i="5" s="1"/>
  <c r="A3" i="20"/>
  <c r="A3" i="2"/>
  <c r="I10" i="7" l="1"/>
  <c r="E9" i="11"/>
  <c r="I9" i="7"/>
  <c r="I8" i="7"/>
  <c r="O22" i="5"/>
  <c r="S22" i="5" s="1"/>
  <c r="U22" i="5" s="1"/>
  <c r="O33" i="5"/>
  <c r="S33" i="5" s="1"/>
  <c r="U33" i="5" s="1"/>
  <c r="M11" i="6"/>
  <c r="Q11" i="6" s="1"/>
  <c r="M13" i="6"/>
  <c r="Q13" i="6" s="1"/>
  <c r="O13" i="5"/>
  <c r="S13" i="5" s="1"/>
  <c r="U13" i="5" s="1"/>
  <c r="O14" i="5"/>
  <c r="S14" i="5" s="1"/>
  <c r="U14" i="5" s="1"/>
  <c r="O15" i="5"/>
  <c r="S15" i="5" s="1"/>
  <c r="E11" i="5"/>
  <c r="I11" i="5" l="1"/>
  <c r="K11" i="5" s="1"/>
  <c r="I11" i="7"/>
  <c r="U15" i="5"/>
  <c r="G17" i="5"/>
  <c r="E14" i="5"/>
  <c r="O23" i="5"/>
  <c r="S23" i="5" s="1"/>
  <c r="U23" i="5" s="1"/>
  <c r="O20" i="5"/>
  <c r="S20" i="5" s="1"/>
  <c r="U20" i="5" s="1"/>
  <c r="O19" i="5"/>
  <c r="S19" i="5" s="1"/>
  <c r="U19" i="5" s="1"/>
  <c r="O24" i="5"/>
  <c r="M14" i="6"/>
  <c r="Q14" i="6" s="1"/>
  <c r="M10" i="6"/>
  <c r="O21" i="5"/>
  <c r="S21" i="5" s="1"/>
  <c r="U21" i="5" s="1"/>
  <c r="M12" i="6"/>
  <c r="Q12" i="6" s="1"/>
  <c r="E13" i="5"/>
  <c r="O11" i="5"/>
  <c r="G15" i="5"/>
  <c r="E11" i="6"/>
  <c r="E15" i="5"/>
  <c r="E13" i="6"/>
  <c r="I13" i="6" s="1"/>
  <c r="E14" i="6"/>
  <c r="I14" i="6" s="1"/>
  <c r="E33" i="5"/>
  <c r="I33" i="5" s="1"/>
  <c r="K33" i="5" s="1"/>
  <c r="E22" i="5"/>
  <c r="I22" i="5" s="1"/>
  <c r="K22" i="5" s="1"/>
  <c r="O26" i="5"/>
  <c r="S26" i="5" s="1"/>
  <c r="U26" i="5" s="1"/>
  <c r="O35" i="5"/>
  <c r="S35" i="5" s="1"/>
  <c r="U35" i="5" s="1"/>
  <c r="I13" i="5" l="1"/>
  <c r="K13" i="5" s="1"/>
  <c r="S11" i="5"/>
  <c r="U11" i="5" s="1"/>
  <c r="E15" i="6"/>
  <c r="I11" i="6"/>
  <c r="I15" i="6" s="1"/>
  <c r="M15" i="6"/>
  <c r="Q10" i="6"/>
  <c r="Q15" i="6" s="1"/>
  <c r="E8" i="11" s="1"/>
  <c r="I14" i="5"/>
  <c r="K14" i="5" s="1"/>
  <c r="I15" i="5"/>
  <c r="K15" i="5" s="1"/>
  <c r="G42" i="5"/>
  <c r="E16" i="5"/>
  <c r="E30" i="5"/>
  <c r="I30" i="5" s="1"/>
  <c r="K30" i="5" s="1"/>
  <c r="O17" i="5"/>
  <c r="S17" i="5" s="1"/>
  <c r="U17" i="5" s="1"/>
  <c r="O16" i="5"/>
  <c r="S16" i="5" s="1"/>
  <c r="U16" i="5" s="1"/>
  <c r="O32" i="5"/>
  <c r="S32" i="5" s="1"/>
  <c r="U32" i="5" s="1"/>
  <c r="O30" i="5"/>
  <c r="S30" i="5" s="1"/>
  <c r="U30" i="5" s="1"/>
  <c r="O27" i="5"/>
  <c r="S27" i="5" s="1"/>
  <c r="U27" i="5" s="1"/>
  <c r="O25" i="5"/>
  <c r="S25" i="5" s="1"/>
  <c r="U25" i="5" s="1"/>
  <c r="E17" i="5"/>
  <c r="E31" i="5"/>
  <c r="I31" i="5" s="1"/>
  <c r="K31" i="5" s="1"/>
  <c r="E32" i="5"/>
  <c r="E28" i="5"/>
  <c r="I28" i="5" s="1"/>
  <c r="K28" i="5" s="1"/>
  <c r="E25" i="5"/>
  <c r="I25" i="5" s="1"/>
  <c r="K25" i="5" s="1"/>
  <c r="E26" i="5"/>
  <c r="I26" i="5" s="1"/>
  <c r="K26" i="5" s="1"/>
  <c r="O31" i="5"/>
  <c r="S31" i="5" s="1"/>
  <c r="U31" i="5" s="1"/>
  <c r="O29" i="5"/>
  <c r="S29" i="5" s="1"/>
  <c r="U29" i="5" s="1"/>
  <c r="E24" i="5"/>
  <c r="I24" i="5" s="1"/>
  <c r="K24" i="5" s="1"/>
  <c r="E21" i="5"/>
  <c r="I21" i="5" s="1"/>
  <c r="K21" i="5" s="1"/>
  <c r="E19" i="5"/>
  <c r="I19" i="5" s="1"/>
  <c r="K19" i="5" s="1"/>
  <c r="O28" i="5"/>
  <c r="S28" i="5" s="1"/>
  <c r="U28" i="5" s="1"/>
  <c r="E20" i="5"/>
  <c r="I20" i="5" s="1"/>
  <c r="K20" i="5" s="1"/>
  <c r="E29" i="5"/>
  <c r="I29" i="5" s="1"/>
  <c r="K29" i="5" s="1"/>
  <c r="E23" i="5"/>
  <c r="I23" i="5" s="1"/>
  <c r="K23" i="5" s="1"/>
  <c r="E27" i="5"/>
  <c r="I27" i="5" s="1"/>
  <c r="K27" i="5" s="1"/>
  <c r="E35" i="5"/>
  <c r="O18" i="5"/>
  <c r="E18" i="5"/>
  <c r="I18" i="5" s="1"/>
  <c r="K18" i="5" s="1"/>
  <c r="E42" i="5" l="1"/>
  <c r="I35" i="5"/>
  <c r="K35" i="5" s="1"/>
  <c r="O42" i="5"/>
  <c r="I16" i="5"/>
  <c r="K16" i="5" s="1"/>
  <c r="I32" i="5"/>
  <c r="K32" i="5" s="1"/>
  <c r="I17" i="5"/>
  <c r="K17" i="5" s="1"/>
  <c r="I8" i="11"/>
  <c r="I42" i="5" l="1"/>
  <c r="K42" i="5" l="1"/>
  <c r="C6" i="2"/>
  <c r="M18" i="5"/>
  <c r="S18" i="5" l="1"/>
  <c r="M24" i="5"/>
  <c r="S24" i="5" s="1"/>
  <c r="U24" i="5" s="1"/>
  <c r="O6" i="18"/>
  <c r="C8" i="20"/>
  <c r="I6" i="2"/>
  <c r="E5" i="11"/>
  <c r="U18" i="5" l="1"/>
  <c r="U42" i="5" s="1"/>
  <c r="S42" i="5"/>
  <c r="E7" i="11" s="1"/>
  <c r="M42" i="5"/>
  <c r="I10" i="11"/>
  <c r="I9" i="11" l="1"/>
  <c r="A3" i="17"/>
  <c r="E11" i="11" l="1"/>
  <c r="G7" i="11" s="1"/>
  <c r="I7" i="11"/>
  <c r="I11" i="11" s="1"/>
  <c r="D15" i="6"/>
  <c r="F15" i="6"/>
  <c r="H15" i="6"/>
  <c r="J15" i="6"/>
  <c r="L15" i="6"/>
  <c r="N15" i="6"/>
  <c r="P15" i="6"/>
  <c r="G8" i="11" l="1"/>
  <c r="G9" i="11"/>
  <c r="G10" i="11"/>
  <c r="A3" i="8"/>
  <c r="A3" i="7"/>
  <c r="A3" i="6"/>
  <c r="A3" i="5"/>
  <c r="G11" i="11" l="1"/>
  <c r="A3" i="11"/>
</calcChain>
</file>

<file path=xl/sharedStrings.xml><?xml version="1.0" encoding="utf-8"?>
<sst xmlns="http://schemas.openxmlformats.org/spreadsheetml/2006/main" count="402" uniqueCount="171">
  <si>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</si>
  <si>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</si>
  <si>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</si>
  <si>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</si>
  <si>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</si>
  <si>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</si>
  <si>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</si>
  <si>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</si>
  <si>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</si>
  <si>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</si>
  <si>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</si>
  <si>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</si>
  <si>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</si>
  <si>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</si>
  <si>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</si>
  <si>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</si>
  <si>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</si>
  <si>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</si>
  <si>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</si>
  <si>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</si>
  <si>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</si>
  <si>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</si>
  <si>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</si>
  <si>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</si>
  <si>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</si>
  <si>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</si>
  <si>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</si>
  <si>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</si>
  <si>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</si>
  <si>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</si>
  <si>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</si>
  <si>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</si>
  <si>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</si>
  <si>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</si>
  <si>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</si>
  <si>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</si>
  <si>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</si>
  <si>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</si>
  <si>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</si>
  <si>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</si>
  <si>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</si>
  <si>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</si>
  <si>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</si>
  <si>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</si>
  <si>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</si>
  <si>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</si>
  <si>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</si>
  <si>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</si>
  <si>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</si>
  <si>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</si>
  <si>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</si>
  <si>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</si>
  <si>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</si>
  <si>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</si>
  <si>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</si>
  <si>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</si>
  <si>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</si>
  <si>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</si>
  <si>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</si>
  <si>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</si>
  <si>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</si>
  <si>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</si>
  <si>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</si>
  <si>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</si>
  <si>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</si>
  <si>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</si>
  <si>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</si>
  <si>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</si>
  <si>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</si>
  <si>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</si>
  <si>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</si>
  <si>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</si>
  <si>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</si>
  <si>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</si>
  <si>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</si>
  <si>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</si>
  <si>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</si>
  <si>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</si>
  <si>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</si>
  <si>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</si>
  <si>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</si>
  <si>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</si>
  <si>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</si>
  <si>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</si>
  <si>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</si>
  <si>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</si>
  <si>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</si>
  <si>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</si>
  <si>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</si>
  <si>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</si>
  <si>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</si>
  <si>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</si>
  <si>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</si>
  <si>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</si>
  <si>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</si>
  <si>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</si>
  <si>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</si>
  <si>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</si>
  <si>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</si>
  <si>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</si>
  <si>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</si>
  <si>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</si>
  <si>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</si>
  <si>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</si>
  <si>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</si>
  <si>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</si>
  <si>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</si>
  <si>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</si>
  <si>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اسناد خزانه-م1بودجه01-040326 (اخزا101)</t>
  </si>
  <si>
    <t>بلی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</si>
  <si>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</si>
  <si>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</si>
  <si>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</si>
  <si>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</si>
  <si>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</si>
  <si>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</si>
  <si>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1402/06/19</t>
  </si>
  <si>
    <t>1404/05/20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</si>
  <si>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</si>
  <si>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</si>
  <si>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</si>
  <si>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</si>
  <si>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</si>
  <si>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</si>
  <si>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</si>
  <si>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</si>
  <si>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</si>
  <si>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</si>
  <si>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</si>
  <si>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</si>
  <si>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</si>
  <si>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</si>
  <si>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</si>
  <si>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</si>
  <si>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</si>
  <si>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</si>
  <si>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</si>
  <si>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</si>
  <si>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</si>
  <si>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1403/03/31</t>
  </si>
  <si>
    <t>کاشی سینا (کساوه)</t>
  </si>
  <si>
    <t>تولیدی و صنعتی گوهرفام (شفام)</t>
  </si>
  <si>
    <t>پاسارگاد 209.307.15644767.2</t>
  </si>
  <si>
    <t>1402/12/17</t>
  </si>
  <si>
    <t>1403/02/22</t>
  </si>
  <si>
    <t>1403/02/24</t>
  </si>
  <si>
    <t>1403/03/01</t>
  </si>
  <si>
    <t>1403/03/09</t>
  </si>
  <si>
    <t>1403/03/13</t>
  </si>
  <si>
    <t>1403/03/23</t>
  </si>
  <si>
    <t>1403/03/26</t>
  </si>
  <si>
    <t>مبین انرژی خلیج فارس (حق تقدم) (مبینح)</t>
  </si>
  <si>
    <t>د- سود اوراق بهادار با درآمد ثابت</t>
  </si>
  <si>
    <t>کوتاه مدت خاورمیانه 1005/10/810/707074934</t>
  </si>
  <si>
    <t>نرخ سود</t>
  </si>
  <si>
    <t>1391/03/16</t>
  </si>
  <si>
    <t>1403/04/11</t>
  </si>
  <si>
    <t>1403/04/13</t>
  </si>
  <si>
    <t>1403/04/17</t>
  </si>
  <si>
    <t>1403/04/24</t>
  </si>
  <si>
    <t>1403/04/28</t>
  </si>
  <si>
    <t>1403/04/30</t>
  </si>
  <si>
    <t>1403/05/31</t>
  </si>
  <si>
    <t>آهن و فولاد غدیر ایرانیان (حق تقدم) (فغدیرح)</t>
  </si>
  <si>
    <t>برای ماه منتهی به 1403/06/31</t>
  </si>
  <si>
    <t>منتهی به 1403/06/31</t>
  </si>
  <si>
    <t>1403/06/31</t>
  </si>
  <si>
    <t>طی شهریور ماه</t>
  </si>
  <si>
    <t>از ابتدای سال مالی تا پایان شهریور ماه</t>
  </si>
  <si>
    <t>سبحان دارو (دسبحان)</t>
  </si>
  <si>
    <t>دارو فارابی (دفارا)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</si>
</sst>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  <numFmt numFmtId="173" formatCode="0.0"/>
    <numFmt numFmtId="174" formatCode="#,##0.00;\(#,##0.00\);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b/>
      <sz val="9"/>
      <color rgb="FF00A651"/>
      <name val="IranSansFaNum"/>
    </font>
    <font>
      <sz val="16"/>
      <name val="B Mitra"/>
      <charset val="178"/>
    </font>
    <font>
      <b/>
      <sz val="9"/>
      <color rgb="FFD42020"/>
      <name val="IranSansFaNum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2"/>
      <color rgb="FF2E2E2E"/>
      <name val="IranSansFaNum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59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9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3" fontId="40" fillId="0" borderId="0" xfId="0" applyNumberFormat="1" applyFont="1"/>
    <xf numFmtId="0" fontId="18" fillId="0" borderId="0" xfId="0" applyFont="1"/>
    <xf numFmtId="0" fontId="8" fillId="0" borderId="0" xfId="0" applyFont="1"/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4" fontId="7" fillId="0" borderId="0" xfId="1" applyNumberFormat="1" applyFont="1" applyFill="1" applyAlignment="1">
      <alignment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/>
    <xf numFmtId="164" fontId="27" fillId="0" borderId="0" xfId="1" applyNumberFormat="1" applyFont="1" applyFill="1" applyBorder="1" applyAlignment="1">
      <alignment vertical="center" wrapText="1" readingOrder="2"/>
    </xf>
    <xf numFmtId="37" fontId="45" fillId="0" borderId="0" xfId="0" applyNumberFormat="1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0" xfId="0" applyNumberFormat="1" applyFont="1" applyBorder="1" applyAlignment="1">
      <alignment horizontal="center" vertical="center"/>
    </xf>
    <xf numFmtId="37" fontId="50" fillId="0" borderId="10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164" fontId="53" fillId="0" borderId="0" xfId="1" applyNumberFormat="1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7" fontId="45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7" fillId="0" borderId="0" xfId="2" applyNumberFormat="1" applyFont="1" applyFill="1" applyAlignment="1">
      <alignment horizontal="center" vertical="center" wrapText="1" readingOrder="2"/>
    </xf>
    <xf numFmtId="9" fontId="57" fillId="0" borderId="2" xfId="2" applyFont="1" applyFill="1" applyBorder="1" applyAlignment="1">
      <alignment horizontal="center" vertical="center" readingOrder="2"/>
    </xf>
    <xf numFmtId="10" fontId="57" fillId="0" borderId="2" xfId="2" applyNumberFormat="1" applyFont="1" applyFill="1" applyBorder="1" applyAlignment="1">
      <alignment horizontal="center" vertical="center" readingOrder="2"/>
    </xf>
    <xf numFmtId="3" fontId="58" fillId="0" borderId="2" xfId="2" applyNumberFormat="1" applyFont="1" applyFill="1" applyBorder="1" applyAlignment="1">
      <alignment horizontal="right" vertical="center" readingOrder="2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3" fontId="54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0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vertical="center" wrapText="1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/>
    <xf numFmtId="37" fontId="11" fillId="0" borderId="0" xfId="0" applyNumberFormat="1" applyFont="1" applyFill="1" applyAlignment="1">
      <alignment vertical="center" wrapText="1"/>
    </xf>
    <xf numFmtId="0" fontId="43" fillId="0" borderId="0" xfId="0" applyFont="1" applyFill="1"/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43" fillId="0" borderId="0" xfId="1" applyNumberFormat="1" applyFont="1" applyFill="1" applyAlignment="1">
      <alignment vertical="center"/>
    </xf>
    <xf numFmtId="0" fontId="43" fillId="0" borderId="0" xfId="0" applyFont="1" applyFill="1" applyAlignment="1">
      <alignment horizontal="center"/>
    </xf>
    <xf numFmtId="173" fontId="13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0" fontId="13" fillId="0" borderId="0" xfId="0" applyFont="1" applyFill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7" fontId="3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 readingOrder="2"/>
    </xf>
    <xf numFmtId="0" fontId="25" fillId="0" borderId="0" xfId="0" applyFont="1" applyFill="1" applyAlignment="1">
      <alignment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12" fillId="0" borderId="0" xfId="0" applyFont="1" applyFill="1"/>
    <xf numFmtId="0" fontId="27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/>
    <xf numFmtId="164" fontId="8" fillId="0" borderId="0" xfId="0" applyNumberFormat="1" applyFont="1" applyFill="1"/>
    <xf numFmtId="0" fontId="25" fillId="0" borderId="13" xfId="0" applyFont="1" applyFill="1" applyBorder="1" applyAlignment="1">
      <alignment horizontal="center" vertical="center" wrapText="1" readingOrder="2"/>
    </xf>
    <xf numFmtId="37" fontId="28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3" fontId="12" fillId="0" borderId="0" xfId="0" applyNumberFormat="1" applyFont="1" applyFill="1"/>
    <xf numFmtId="3" fontId="24" fillId="0" borderId="10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/>
    </xf>
    <xf numFmtId="173" fontId="18" fillId="0" borderId="0" xfId="0" applyNumberFormat="1" applyFont="1" applyFill="1"/>
    <xf numFmtId="0" fontId="13" fillId="0" borderId="0" xfId="0" applyFont="1" applyFill="1" applyAlignment="1">
      <alignment horizontal="center"/>
    </xf>
    <xf numFmtId="37" fontId="45" fillId="0" borderId="0" xfId="0" applyNumberFormat="1" applyFont="1" applyFill="1" applyAlignment="1">
      <alignment horizontal="center" vertical="center" wrapText="1"/>
    </xf>
    <xf numFmtId="173" fontId="8" fillId="0" borderId="0" xfId="0" applyNumberFormat="1" applyFont="1" applyFill="1"/>
    <xf numFmtId="173" fontId="13" fillId="0" borderId="0" xfId="0" applyNumberFormat="1" applyFont="1" applyFill="1"/>
    <xf numFmtId="3" fontId="13" fillId="0" borderId="0" xfId="0" applyNumberFormat="1" applyFont="1" applyFill="1"/>
    <xf numFmtId="37" fontId="1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7" fontId="12" fillId="0" borderId="0" xfId="0" applyNumberFormat="1" applyFont="1" applyFill="1"/>
    <xf numFmtId="37" fontId="8" fillId="0" borderId="0" xfId="0" applyNumberFormat="1" applyFont="1" applyFill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164" fontId="12" fillId="0" borderId="0" xfId="0" applyNumberFormat="1" applyFont="1" applyFill="1"/>
    <xf numFmtId="164" fontId="43" fillId="0" borderId="0" xfId="0" applyNumberFormat="1" applyFont="1" applyFill="1"/>
    <xf numFmtId="3" fontId="44" fillId="0" borderId="0" xfId="0" applyNumberFormat="1" applyFont="1" applyFill="1"/>
    <xf numFmtId="165" fontId="12" fillId="0" borderId="0" xfId="0" applyNumberFormat="1" applyFont="1" applyFill="1"/>
    <xf numFmtId="0" fontId="18" fillId="0" borderId="0" xfId="0" applyFont="1" applyFill="1" applyAlignment="1">
      <alignment horizontal="center" vertical="center"/>
    </xf>
    <xf numFmtId="37" fontId="55" fillId="0" borderId="0" xfId="0" quotePrefix="1" applyNumberFormat="1" applyFont="1" applyFill="1" applyAlignment="1">
      <alignment horizontal="right" vertical="center" wrapText="1"/>
    </xf>
    <xf numFmtId="37" fontId="11" fillId="0" borderId="0" xfId="0" quotePrefix="1" applyNumberFormat="1" applyFont="1" applyFill="1" applyAlignment="1">
      <alignment horizontal="right" vertical="center" wrapText="1"/>
    </xf>
    <xf numFmtId="2" fontId="8" fillId="0" borderId="0" xfId="0" applyNumberFormat="1" applyFont="1" applyFill="1" applyAlignment="1">
      <alignment vertical="center"/>
    </xf>
    <xf numFmtId="37" fontId="11" fillId="0" borderId="0" xfId="0" applyNumberFormat="1" applyFont="1" applyFill="1" applyAlignment="1">
      <alignment horizontal="center" vertical="center" wrapText="1"/>
    </xf>
    <xf numFmtId="3" fontId="46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37" fontId="11" fillId="0" borderId="0" xfId="0" quotePrefix="1" applyNumberFormat="1" applyFont="1" applyFill="1" applyAlignment="1">
      <alignment horizontal="center" vertical="center" wrapText="1"/>
    </xf>
    <xf numFmtId="37" fontId="24" fillId="0" borderId="0" xfId="0" applyNumberFormat="1" applyFont="1" applyFill="1" applyAlignment="1">
      <alignment vertical="center" wrapText="1"/>
    </xf>
    <xf numFmtId="37" fontId="8" fillId="0" borderId="0" xfId="0" applyNumberFormat="1" applyFont="1" applyFill="1"/>
    <xf numFmtId="0" fontId="4" fillId="0" borderId="0" xfId="0" applyFont="1" applyFill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 readingOrder="2"/>
    </xf>
    <xf numFmtId="3" fontId="24" fillId="0" borderId="1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43" fontId="12" fillId="0" borderId="0" xfId="0" applyNumberFormat="1" applyFont="1" applyFill="1"/>
    <xf numFmtId="164" fontId="8" fillId="0" borderId="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74" fontId="59" fillId="0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37" fontId="50" fillId="0" borderId="14" xfId="0" applyNumberFormat="1" applyFont="1" applyBorder="1" applyAlignment="1">
      <alignment horizontal="center" vertical="center"/>
    </xf>
    <xf numFmtId="0" fontId="51" fillId="0" borderId="11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5" fillId="0" borderId="3" xfId="0" applyFont="1" applyFill="1" applyBorder="1" applyAlignment="1">
      <alignment horizontal="center" vertical="center" wrapText="1" readingOrder="2"/>
    </xf>
    <xf numFmtId="0" fontId="25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 readingOrder="2"/>
    </xf>
    <xf numFmtId="0" fontId="25" fillId="0" borderId="4" xfId="0" applyFont="1" applyFill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/>
    <xf numFmtId="3" fontId="20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right" vertical="center" readingOrder="2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56" fillId="0" borderId="1" xfId="1" applyNumberFormat="1" applyFont="1" applyFill="1" applyBorder="1" applyAlignment="1">
      <alignment horizontal="center" vertical="center" wrapText="1" readingOrder="2"/>
    </xf>
    <xf numFmtId="0" fontId="23" fillId="0" borderId="0" xfId="0" applyFont="1" applyFill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9526</xdr:rowOff>
    </xdr:from>
    <xdr:to>
      <xdr:col>10</xdr:col>
      <xdr:colOff>7793</xdr:colOff>
      <xdr:row>36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30537F-656F-4026-999D-11700E68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82607" y="9526"/>
          <a:ext cx="6094268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M14" sqref="M14"/>
    </sheetView>
  </sheetViews>
  <sheetFormatPr defaultColWidth="9.140625" defaultRowHeight="17.25"/>
  <cols>
    <col min="1" max="16384" width="9.140625" style="1"/>
  </cols>
  <sheetData>
    <row r="18" spans="1:13">
      <c r="M18" s="1" t="s">
        <v>54</v>
      </c>
    </row>
    <row r="24" spans="1:13" ht="15" customHeight="1">
      <c r="A24" s="265" t="s">
        <v>70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3"/>
      <c r="L24" s="3"/>
    </row>
    <row r="25" spans="1:13" ht="15" customHeight="1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3"/>
      <c r="L25" s="3"/>
    </row>
    <row r="26" spans="1:13" ht="1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3"/>
      <c r="L26" s="3"/>
    </row>
    <row r="27" spans="1:13">
      <c r="C27" s="1" t="s">
        <v>54</v>
      </c>
    </row>
    <row r="28" spans="1:13" ht="15" customHeight="1">
      <c r="A28" s="265" t="s">
        <v>165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</row>
    <row r="29" spans="1:13" ht="15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</row>
    <row r="30" spans="1:13" ht="15" customHeight="1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</row>
    <row r="31" spans="1:13" ht="1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4"/>
  <sheetViews>
    <sheetView rightToLeft="1" view="pageBreakPreview" zoomScale="50" zoomScaleNormal="100" zoomScaleSheetLayoutView="50" workbookViewId="0">
      <selection activeCell="G66" sqref="G66"/>
    </sheetView>
  </sheetViews>
  <sheetFormatPr defaultColWidth="9.140625" defaultRowHeight="30.75"/>
  <cols>
    <col min="1" max="1" width="55.42578125" style="143" bestFit="1" customWidth="1"/>
    <col min="2" max="2" width="1.85546875" style="143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143" customWidth="1"/>
    <col min="23" max="23" width="21.85546875" style="9" customWidth="1"/>
    <col min="24" max="24" width="21.140625" style="4" bestFit="1" customWidth="1"/>
    <col min="25" max="25" width="27.140625" style="4" bestFit="1" customWidth="1"/>
    <col min="26" max="26" width="19.42578125" style="143" bestFit="1" customWidth="1"/>
    <col min="27" max="27" width="19.42578125" style="5" bestFit="1" customWidth="1"/>
    <col min="28" max="28" width="14.85546875" style="5" bestFit="1" customWidth="1"/>
    <col min="29" max="29" width="17.140625" style="143" bestFit="1" customWidth="1"/>
    <col min="30" max="16384" width="9.140625" style="143"/>
  </cols>
  <sheetData>
    <row r="1" spans="1:33" ht="31.5">
      <c r="A1" s="266" t="s">
        <v>87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33" ht="31.5">
      <c r="A2" s="266" t="s">
        <v>46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</row>
    <row r="3" spans="1:33" ht="31.5">
      <c r="A3" s="266" t="s">
        <v>164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</row>
    <row r="4" spans="1:33" ht="31.5">
      <c r="A4" s="274" t="s">
        <v>22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33" ht="31.5">
      <c r="A5" s="274" t="s">
        <v>23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</row>
    <row r="7" spans="1:33" ht="36.75" customHeight="1" thickBot="1">
      <c r="A7" s="144"/>
      <c r="B7" s="145"/>
      <c r="C7" s="276" t="s">
        <v>162</v>
      </c>
      <c r="D7" s="276"/>
      <c r="E7" s="276"/>
      <c r="F7" s="276"/>
      <c r="G7" s="276"/>
      <c r="H7" s="6"/>
      <c r="I7" s="275" t="s">
        <v>7</v>
      </c>
      <c r="J7" s="275"/>
      <c r="K7" s="275"/>
      <c r="L7" s="275"/>
      <c r="M7" s="275"/>
      <c r="O7" s="277" t="s">
        <v>166</v>
      </c>
      <c r="P7" s="277"/>
      <c r="Q7" s="277"/>
      <c r="R7" s="277"/>
      <c r="S7" s="277"/>
      <c r="T7" s="277"/>
      <c r="U7" s="277"/>
      <c r="V7" s="277"/>
      <c r="W7" s="277"/>
    </row>
    <row r="8" spans="1:33" ht="29.25" customHeight="1">
      <c r="A8" s="267" t="s">
        <v>1</v>
      </c>
      <c r="B8" s="146"/>
      <c r="C8" s="271" t="s">
        <v>3</v>
      </c>
      <c r="D8" s="273"/>
      <c r="E8" s="271" t="s">
        <v>0</v>
      </c>
      <c r="F8" s="273"/>
      <c r="G8" s="273" t="s">
        <v>18</v>
      </c>
      <c r="H8" s="50"/>
      <c r="I8" s="269" t="s">
        <v>4</v>
      </c>
      <c r="J8" s="269"/>
      <c r="K8" s="7"/>
      <c r="L8" s="269" t="s">
        <v>5</v>
      </c>
      <c r="M8" s="269"/>
      <c r="O8" s="271" t="s">
        <v>3</v>
      </c>
      <c r="P8" s="270"/>
      <c r="Q8" s="273" t="s">
        <v>30</v>
      </c>
      <c r="R8" s="244"/>
      <c r="S8" s="271" t="s">
        <v>0</v>
      </c>
      <c r="T8" s="270"/>
      <c r="U8" s="273" t="s">
        <v>18</v>
      </c>
      <c r="V8" s="147"/>
      <c r="W8" s="279" t="s">
        <v>19</v>
      </c>
    </row>
    <row r="9" spans="1:33" ht="49.5" customHeight="1" thickBot="1">
      <c r="A9" s="268"/>
      <c r="B9" s="146"/>
      <c r="C9" s="272"/>
      <c r="D9" s="270"/>
      <c r="E9" s="272"/>
      <c r="F9" s="270"/>
      <c r="G9" s="278"/>
      <c r="H9" s="50"/>
      <c r="I9" s="115" t="s">
        <v>3</v>
      </c>
      <c r="J9" s="115" t="s">
        <v>0</v>
      </c>
      <c r="K9" s="7"/>
      <c r="L9" s="115" t="s">
        <v>3</v>
      </c>
      <c r="M9" s="115" t="s">
        <v>45</v>
      </c>
      <c r="O9" s="272"/>
      <c r="P9" s="270"/>
      <c r="Q9" s="278"/>
      <c r="R9" s="244"/>
      <c r="S9" s="272"/>
      <c r="T9" s="270"/>
      <c r="U9" s="278"/>
      <c r="V9" s="147"/>
      <c r="W9" s="280"/>
    </row>
    <row r="10" spans="1:33" ht="28.5" customHeight="1">
      <c r="A10" s="4" t="s">
        <v>140</v>
      </c>
      <c r="C10" s="255">
        <v>67316</v>
      </c>
      <c r="E10" s="4">
        <v>1308035336</v>
      </c>
      <c r="G10" s="255">
        <v>1071985829</v>
      </c>
      <c r="I10" s="4">
        <v>122802</v>
      </c>
      <c r="J10" s="4">
        <v>2058259779</v>
      </c>
      <c r="K10" s="148"/>
      <c r="L10" s="4">
        <v>0</v>
      </c>
      <c r="M10" s="4">
        <v>0</v>
      </c>
      <c r="O10" s="4">
        <v>190118</v>
      </c>
      <c r="Q10" s="256">
        <v>17030</v>
      </c>
      <c r="S10" s="4">
        <v>3366295115</v>
      </c>
      <c r="U10" s="255">
        <v>3218445171</v>
      </c>
      <c r="V10" s="148"/>
      <c r="W10" s="8">
        <f>U10/درآمدها!$J$5</f>
        <v>3.5390672371698927E-2</v>
      </c>
      <c r="Z10" s="149"/>
      <c r="AC10" s="149"/>
      <c r="AD10" s="150"/>
      <c r="AE10" s="149"/>
      <c r="AF10" s="150"/>
      <c r="AG10" s="149"/>
    </row>
    <row r="11" spans="1:33" ht="28.5" customHeight="1">
      <c r="A11" s="4" t="s">
        <v>125</v>
      </c>
      <c r="C11" s="255">
        <v>572500</v>
      </c>
      <c r="E11" s="4">
        <v>7563861753</v>
      </c>
      <c r="G11" s="255">
        <v>6516122009</v>
      </c>
      <c r="I11" s="4">
        <v>0</v>
      </c>
      <c r="J11" s="4">
        <v>0</v>
      </c>
      <c r="K11" s="148"/>
      <c r="L11" s="4">
        <v>0</v>
      </c>
      <c r="M11" s="4">
        <v>0</v>
      </c>
      <c r="O11" s="4">
        <v>572500</v>
      </c>
      <c r="Q11" s="256">
        <v>13640</v>
      </c>
      <c r="S11" s="4">
        <v>7563861753</v>
      </c>
      <c r="U11" s="255">
        <v>7762437046</v>
      </c>
      <c r="V11" s="148"/>
      <c r="W11" s="8">
        <f>U11/درآمدها!$J$5</f>
        <v>8.5357323709065111E-2</v>
      </c>
      <c r="Z11" s="149"/>
      <c r="AC11" s="149"/>
      <c r="AD11" s="150"/>
      <c r="AE11" s="149"/>
      <c r="AF11" s="150"/>
      <c r="AG11" s="149"/>
    </row>
    <row r="12" spans="1:33" ht="28.5" customHeight="1">
      <c r="A12" s="4" t="s">
        <v>126</v>
      </c>
      <c r="C12" s="255">
        <v>200000</v>
      </c>
      <c r="E12" s="4">
        <v>1691534520</v>
      </c>
      <c r="G12" s="255">
        <v>1938397500</v>
      </c>
      <c r="I12" s="4">
        <v>0</v>
      </c>
      <c r="J12" s="4">
        <v>0</v>
      </c>
      <c r="K12" s="148"/>
      <c r="L12" s="4">
        <v>0</v>
      </c>
      <c r="M12" s="4">
        <v>0</v>
      </c>
      <c r="O12" s="4">
        <v>200000</v>
      </c>
      <c r="Q12" s="256">
        <v>10340</v>
      </c>
      <c r="S12" s="4">
        <v>1691534520</v>
      </c>
      <c r="U12" s="255">
        <v>2055695400</v>
      </c>
      <c r="V12" s="148"/>
      <c r="W12" s="8">
        <f>U12/درآمدها!$J$5</f>
        <v>2.2604841323055298E-2</v>
      </c>
      <c r="Z12" s="149"/>
      <c r="AC12" s="149"/>
      <c r="AD12" s="150"/>
      <c r="AE12" s="149"/>
      <c r="AF12" s="150"/>
      <c r="AG12" s="149"/>
    </row>
    <row r="13" spans="1:33" ht="28.5" customHeight="1">
      <c r="A13" s="4" t="s">
        <v>110</v>
      </c>
      <c r="C13" s="255">
        <v>337658</v>
      </c>
      <c r="E13" s="4">
        <v>2334382483</v>
      </c>
      <c r="G13" s="255">
        <v>2215282973</v>
      </c>
      <c r="I13" s="4">
        <v>0</v>
      </c>
      <c r="J13" s="4">
        <v>0</v>
      </c>
      <c r="K13" s="148"/>
      <c r="L13" s="4">
        <v>0</v>
      </c>
      <c r="M13" s="4">
        <v>0</v>
      </c>
      <c r="O13" s="4">
        <v>337658</v>
      </c>
      <c r="Q13" s="256">
        <v>6490</v>
      </c>
      <c r="S13" s="4">
        <v>2334382483</v>
      </c>
      <c r="U13" s="255">
        <v>2178361589</v>
      </c>
      <c r="V13" s="148"/>
      <c r="W13" s="8">
        <f>U13/درآمدها!$J$5</f>
        <v>2.395370348329991E-2</v>
      </c>
      <c r="Z13" s="149"/>
      <c r="AC13" s="149"/>
      <c r="AD13" s="150"/>
      <c r="AE13" s="149"/>
      <c r="AF13" s="150"/>
      <c r="AG13" s="149"/>
    </row>
    <row r="14" spans="1:33" ht="28.5" customHeight="1">
      <c r="A14" s="4" t="s">
        <v>88</v>
      </c>
      <c r="C14" s="255">
        <v>158661</v>
      </c>
      <c r="E14" s="4">
        <v>1887101929</v>
      </c>
      <c r="G14" s="255">
        <v>1104018773</v>
      </c>
      <c r="I14" s="4">
        <v>0</v>
      </c>
      <c r="J14" s="4">
        <v>0</v>
      </c>
      <c r="K14" s="148"/>
      <c r="L14" s="4">
        <v>0</v>
      </c>
      <c r="M14" s="4">
        <v>0</v>
      </c>
      <c r="O14" s="4">
        <v>158661</v>
      </c>
      <c r="Q14" s="256">
        <v>6720</v>
      </c>
      <c r="S14" s="4">
        <v>1887101929</v>
      </c>
      <c r="U14" s="255">
        <v>1059858021</v>
      </c>
      <c r="V14" s="148"/>
      <c r="W14" s="8">
        <f>U14/درآمدها!$J$5</f>
        <v>1.1654412608829309E-2</v>
      </c>
      <c r="Z14" s="149"/>
      <c r="AC14" s="149"/>
      <c r="AD14" s="150"/>
      <c r="AE14" s="149"/>
      <c r="AF14" s="150"/>
      <c r="AG14" s="149"/>
    </row>
    <row r="15" spans="1:33" ht="28.5" customHeight="1">
      <c r="A15" s="4" t="s">
        <v>99</v>
      </c>
      <c r="C15" s="255">
        <v>33444</v>
      </c>
      <c r="E15" s="4">
        <v>1086348298</v>
      </c>
      <c r="G15" s="255">
        <v>1454136662</v>
      </c>
      <c r="I15" s="4">
        <v>0</v>
      </c>
      <c r="J15" s="4">
        <v>0</v>
      </c>
      <c r="K15" s="148"/>
      <c r="L15" s="4">
        <v>33067</v>
      </c>
      <c r="M15" s="4">
        <v>1492355428</v>
      </c>
      <c r="O15" s="4">
        <v>377</v>
      </c>
      <c r="Q15" s="256">
        <v>45510</v>
      </c>
      <c r="S15" s="4">
        <v>12245943</v>
      </c>
      <c r="U15" s="255">
        <v>17055188</v>
      </c>
      <c r="V15" s="148"/>
      <c r="W15" s="8">
        <f>U15/درآمدها!$J$5</f>
        <v>1.8754228786758818E-4</v>
      </c>
      <c r="Z15" s="149"/>
      <c r="AC15" s="149"/>
      <c r="AD15" s="150"/>
      <c r="AE15" s="149"/>
      <c r="AF15" s="150"/>
      <c r="AG15" s="149"/>
    </row>
    <row r="16" spans="1:33" ht="28.5" customHeight="1">
      <c r="A16" s="4" t="s">
        <v>95</v>
      </c>
      <c r="C16" s="255">
        <v>956931</v>
      </c>
      <c r="E16" s="4">
        <v>2249810209</v>
      </c>
      <c r="G16" s="255">
        <v>2330531293</v>
      </c>
      <c r="I16" s="4">
        <v>0</v>
      </c>
      <c r="J16" s="4">
        <v>0</v>
      </c>
      <c r="K16" s="148"/>
      <c r="L16" s="4">
        <v>0</v>
      </c>
      <c r="M16" s="4">
        <v>0</v>
      </c>
      <c r="O16" s="4">
        <v>956931</v>
      </c>
      <c r="Q16" s="256">
        <v>2604</v>
      </c>
      <c r="S16" s="4">
        <v>2249810209</v>
      </c>
      <c r="U16" s="255">
        <v>2477021830</v>
      </c>
      <c r="V16" s="148"/>
      <c r="W16" s="8">
        <f>U16/درآمدها!$J$5</f>
        <v>2.7237831743406174E-2</v>
      </c>
      <c r="Z16" s="149"/>
      <c r="AC16" s="149"/>
      <c r="AD16" s="150"/>
      <c r="AE16" s="149"/>
      <c r="AF16" s="150"/>
      <c r="AG16" s="149"/>
    </row>
    <row r="17" spans="1:33" ht="28.5" customHeight="1">
      <c r="A17" s="4" t="s">
        <v>92</v>
      </c>
      <c r="C17" s="255">
        <v>76199</v>
      </c>
      <c r="E17" s="4">
        <v>3918772867</v>
      </c>
      <c r="G17" s="255">
        <v>3368407544</v>
      </c>
      <c r="I17" s="4">
        <v>0</v>
      </c>
      <c r="J17" s="4">
        <v>0</v>
      </c>
      <c r="K17" s="148"/>
      <c r="L17" s="4">
        <v>76199</v>
      </c>
      <c r="M17" s="4">
        <v>3373756592</v>
      </c>
      <c r="O17" s="4">
        <v>0</v>
      </c>
      <c r="Q17" s="256">
        <v>0</v>
      </c>
      <c r="S17" s="4">
        <v>0</v>
      </c>
      <c r="U17" s="255">
        <v>0</v>
      </c>
      <c r="V17" s="148"/>
      <c r="W17" s="8">
        <f>U17/درآمدها!$J$5</f>
        <v>0</v>
      </c>
      <c r="Z17" s="149"/>
      <c r="AC17" s="149"/>
      <c r="AD17" s="150"/>
      <c r="AE17" s="149"/>
      <c r="AF17" s="150"/>
      <c r="AG17" s="149"/>
    </row>
    <row r="18" spans="1:33" ht="28.5" customHeight="1">
      <c r="A18" s="4" t="s">
        <v>124</v>
      </c>
      <c r="C18" s="255">
        <v>2076998</v>
      </c>
      <c r="E18" s="4">
        <v>2498067889</v>
      </c>
      <c r="G18" s="255">
        <v>2264909931</v>
      </c>
      <c r="I18" s="4">
        <v>0</v>
      </c>
      <c r="J18" s="4">
        <v>0</v>
      </c>
      <c r="K18" s="148"/>
      <c r="L18" s="4">
        <v>0</v>
      </c>
      <c r="M18" s="4">
        <v>0</v>
      </c>
      <c r="O18" s="4">
        <v>2076998</v>
      </c>
      <c r="Q18" s="256">
        <v>1152</v>
      </c>
      <c r="S18" s="4">
        <v>2498067889</v>
      </c>
      <c r="U18" s="255">
        <v>2378465123</v>
      </c>
      <c r="V18" s="148"/>
      <c r="W18" s="8">
        <f>U18/درآمدها!$J$5</f>
        <v>2.6154082310947527E-2</v>
      </c>
      <c r="Z18" s="149"/>
      <c r="AC18" s="151"/>
      <c r="AD18" s="150"/>
      <c r="AE18" s="149"/>
      <c r="AF18" s="150"/>
      <c r="AG18" s="149"/>
    </row>
    <row r="19" spans="1:33" ht="28.5" customHeight="1">
      <c r="A19" s="4" t="s">
        <v>94</v>
      </c>
      <c r="C19" s="255">
        <v>1799845</v>
      </c>
      <c r="E19" s="4">
        <v>12827930872</v>
      </c>
      <c r="G19" s="255">
        <v>11056860003</v>
      </c>
      <c r="I19" s="4">
        <v>0</v>
      </c>
      <c r="J19" s="4">
        <v>0</v>
      </c>
      <c r="K19" s="148"/>
      <c r="L19" s="4">
        <v>519151</v>
      </c>
      <c r="M19" s="4">
        <v>3015400542</v>
      </c>
      <c r="O19" s="4">
        <v>1280694</v>
      </c>
      <c r="Q19" s="256">
        <v>6010</v>
      </c>
      <c r="S19" s="4">
        <v>9127816062</v>
      </c>
      <c r="U19" s="255">
        <v>7651173966</v>
      </c>
      <c r="V19" s="148"/>
      <c r="W19" s="8">
        <f>U19/درآمدها!$J$5</f>
        <v>8.4133852435784834E-2</v>
      </c>
      <c r="Z19" s="149"/>
      <c r="AC19" s="149"/>
      <c r="AD19" s="150"/>
      <c r="AE19" s="149"/>
      <c r="AF19" s="150"/>
      <c r="AG19" s="149"/>
    </row>
    <row r="20" spans="1:33" ht="28.5" customHeight="1">
      <c r="A20" s="4" t="s">
        <v>93</v>
      </c>
      <c r="C20" s="255">
        <v>552673</v>
      </c>
      <c r="E20" s="4">
        <v>5891860249</v>
      </c>
      <c r="G20" s="255">
        <v>3906124477</v>
      </c>
      <c r="I20" s="4">
        <v>0</v>
      </c>
      <c r="J20" s="4">
        <v>0</v>
      </c>
      <c r="K20" s="148"/>
      <c r="L20" s="4">
        <v>0</v>
      </c>
      <c r="M20" s="4">
        <v>0</v>
      </c>
      <c r="O20" s="4">
        <v>552673</v>
      </c>
      <c r="Q20" s="256">
        <v>7830</v>
      </c>
      <c r="S20" s="4">
        <v>5891860249</v>
      </c>
      <c r="U20" s="255">
        <v>4301681389</v>
      </c>
      <c r="V20" s="148"/>
      <c r="W20" s="8">
        <f>U20/درآمدها!$J$5</f>
        <v>4.7302156350928791E-2</v>
      </c>
      <c r="Z20" s="149"/>
      <c r="AC20" s="149"/>
      <c r="AD20" s="150"/>
      <c r="AE20" s="149"/>
      <c r="AF20" s="150"/>
      <c r="AG20" s="149"/>
    </row>
    <row r="21" spans="1:33" ht="28.5" customHeight="1">
      <c r="A21" s="4" t="s">
        <v>169</v>
      </c>
      <c r="C21" s="255">
        <v>0</v>
      </c>
      <c r="E21" s="4">
        <v>0</v>
      </c>
      <c r="G21" s="255">
        <v>0</v>
      </c>
      <c r="I21" s="4">
        <v>277929</v>
      </c>
      <c r="J21" s="4">
        <v>1070018671</v>
      </c>
      <c r="K21" s="148"/>
      <c r="L21" s="4">
        <v>0</v>
      </c>
      <c r="M21" s="4">
        <v>0</v>
      </c>
      <c r="O21" s="4">
        <v>277929</v>
      </c>
      <c r="Q21" s="256">
        <v>4098</v>
      </c>
      <c r="S21" s="4">
        <v>1070018671</v>
      </c>
      <c r="U21" s="255">
        <v>1132176275</v>
      </c>
      <c r="V21" s="148"/>
      <c r="W21" s="8">
        <f>U21/درآمدها!$J$5</f>
        <v>1.2449638718899122E-2</v>
      </c>
      <c r="Z21" s="149"/>
      <c r="AC21" s="149"/>
      <c r="AD21" s="150"/>
      <c r="AE21" s="149"/>
      <c r="AF21" s="150"/>
      <c r="AG21" s="149"/>
    </row>
    <row r="22" spans="1:33" ht="28.5" customHeight="1">
      <c r="A22" s="4" t="s">
        <v>90</v>
      </c>
      <c r="C22" s="255">
        <v>180232</v>
      </c>
      <c r="E22" s="4">
        <v>3828255392</v>
      </c>
      <c r="G22" s="255">
        <v>2974049688</v>
      </c>
      <c r="I22" s="4">
        <v>197502</v>
      </c>
      <c r="J22" s="4">
        <v>3379527043</v>
      </c>
      <c r="K22" s="148"/>
      <c r="L22" s="4">
        <v>0</v>
      </c>
      <c r="M22" s="4">
        <v>0</v>
      </c>
      <c r="O22" s="4">
        <v>377734</v>
      </c>
      <c r="Q22" s="256">
        <v>18160</v>
      </c>
      <c r="S22" s="4">
        <v>7207782435</v>
      </c>
      <c r="U22" s="255">
        <v>6818834530</v>
      </c>
      <c r="V22" s="148"/>
      <c r="W22" s="8">
        <f>U22/درآمدها!$J$5</f>
        <v>7.4981280085960375E-2</v>
      </c>
      <c r="Z22" s="149"/>
      <c r="AC22" s="149"/>
      <c r="AD22" s="150"/>
      <c r="AE22" s="149"/>
      <c r="AF22" s="150"/>
      <c r="AG22" s="149"/>
    </row>
    <row r="23" spans="1:33" ht="28.5" customHeight="1">
      <c r="A23" s="4" t="s">
        <v>91</v>
      </c>
      <c r="C23" s="255">
        <v>208254</v>
      </c>
      <c r="E23" s="4">
        <v>3820956787</v>
      </c>
      <c r="G23" s="255">
        <v>3550305345</v>
      </c>
      <c r="I23" s="4">
        <v>0</v>
      </c>
      <c r="J23" s="4">
        <v>0</v>
      </c>
      <c r="K23" s="148"/>
      <c r="L23" s="4">
        <v>0</v>
      </c>
      <c r="M23" s="4">
        <v>0</v>
      </c>
      <c r="O23" s="4">
        <v>208254</v>
      </c>
      <c r="Q23" s="256">
        <v>17170</v>
      </c>
      <c r="S23" s="4">
        <v>3820956787</v>
      </c>
      <c r="U23" s="255">
        <v>3554445642</v>
      </c>
      <c r="V23" s="148"/>
      <c r="W23" s="8">
        <f>U23/درآمدها!$J$5</f>
        <v>3.9085401333697305E-2</v>
      </c>
      <c r="Z23" s="149"/>
      <c r="AC23" s="149"/>
      <c r="AD23" s="150"/>
      <c r="AE23" s="149"/>
      <c r="AF23" s="150"/>
      <c r="AG23" s="149"/>
    </row>
    <row r="24" spans="1:33" ht="28.5" customHeight="1">
      <c r="A24" s="4" t="s">
        <v>103</v>
      </c>
      <c r="C24" s="255">
        <v>64355</v>
      </c>
      <c r="E24" s="4">
        <v>990259829</v>
      </c>
      <c r="G24" s="255">
        <v>685141063</v>
      </c>
      <c r="I24" s="4">
        <v>0</v>
      </c>
      <c r="J24" s="4">
        <v>0</v>
      </c>
      <c r="K24" s="148"/>
      <c r="L24" s="4">
        <v>0</v>
      </c>
      <c r="M24" s="4">
        <v>0</v>
      </c>
      <c r="O24" s="4">
        <v>64355</v>
      </c>
      <c r="Q24" s="256">
        <v>11140</v>
      </c>
      <c r="S24" s="4">
        <v>990259829</v>
      </c>
      <c r="U24" s="255">
        <v>712649061</v>
      </c>
      <c r="V24" s="148"/>
      <c r="W24" s="8">
        <f>U24/درآمدها!$J$5</f>
        <v>7.8364328406481595E-3</v>
      </c>
      <c r="Z24" s="149"/>
      <c r="AC24" s="149"/>
      <c r="AD24" s="150"/>
      <c r="AE24" s="149"/>
      <c r="AF24" s="150"/>
      <c r="AG24" s="149"/>
    </row>
    <row r="25" spans="1:33" ht="28.5" customHeight="1">
      <c r="A25" s="4" t="s">
        <v>102</v>
      </c>
      <c r="C25" s="255">
        <v>40877</v>
      </c>
      <c r="E25" s="4">
        <v>961580718</v>
      </c>
      <c r="G25" s="255">
        <v>1042256509</v>
      </c>
      <c r="I25" s="4">
        <v>0</v>
      </c>
      <c r="J25" s="4">
        <v>0</v>
      </c>
      <c r="K25" s="148"/>
      <c r="L25" s="4">
        <v>0</v>
      </c>
      <c r="M25" s="4">
        <v>0</v>
      </c>
      <c r="O25" s="4">
        <v>40877</v>
      </c>
      <c r="Q25" s="256">
        <v>28450</v>
      </c>
      <c r="S25" s="4">
        <v>961580718</v>
      </c>
      <c r="U25" s="255">
        <v>1156031097</v>
      </c>
      <c r="V25" s="148"/>
      <c r="W25" s="8">
        <f>U25/درآمدها!$J$5</f>
        <v>1.2711951153951382E-2</v>
      </c>
      <c r="Z25" s="149"/>
      <c r="AC25" s="149"/>
      <c r="AD25" s="150"/>
      <c r="AE25" s="149"/>
      <c r="AF25" s="150"/>
      <c r="AG25" s="149"/>
    </row>
    <row r="26" spans="1:33" ht="28.5" customHeight="1">
      <c r="A26" s="4" t="s">
        <v>111</v>
      </c>
      <c r="C26" s="255">
        <v>1610871</v>
      </c>
      <c r="E26" s="4">
        <v>5349277874</v>
      </c>
      <c r="G26" s="255">
        <v>4565267296</v>
      </c>
      <c r="I26" s="4">
        <v>0</v>
      </c>
      <c r="J26" s="4">
        <v>0</v>
      </c>
      <c r="K26" s="148"/>
      <c r="L26" s="4">
        <v>0</v>
      </c>
      <c r="M26" s="4">
        <v>0</v>
      </c>
      <c r="O26" s="4">
        <v>1610871</v>
      </c>
      <c r="Q26" s="256">
        <v>2773</v>
      </c>
      <c r="S26" s="4">
        <v>5349277874</v>
      </c>
      <c r="U26" s="255">
        <v>5112907215</v>
      </c>
      <c r="V26" s="148"/>
      <c r="W26" s="8">
        <f>U26/درآمدها!$J$5</f>
        <v>5.6222559185849993E-2</v>
      </c>
      <c r="Z26" s="149"/>
      <c r="AC26" s="149"/>
      <c r="AD26" s="150"/>
      <c r="AE26" s="149"/>
      <c r="AF26" s="150"/>
      <c r="AG26" s="149"/>
    </row>
    <row r="27" spans="1:33" ht="28.5" customHeight="1">
      <c r="A27" s="4" t="s">
        <v>170</v>
      </c>
      <c r="C27" s="255">
        <v>0</v>
      </c>
      <c r="E27" s="4">
        <v>0</v>
      </c>
      <c r="G27" s="255">
        <v>0</v>
      </c>
      <c r="I27" s="4">
        <v>57688</v>
      </c>
      <c r="J27" s="4">
        <v>1483685863</v>
      </c>
      <c r="K27" s="148"/>
      <c r="L27" s="4">
        <v>0</v>
      </c>
      <c r="M27" s="4">
        <v>0</v>
      </c>
      <c r="O27" s="4">
        <v>57688</v>
      </c>
      <c r="Q27" s="256">
        <v>26520</v>
      </c>
      <c r="S27" s="4">
        <v>1483685863</v>
      </c>
      <c r="U27" s="255">
        <v>1520782943</v>
      </c>
      <c r="V27" s="148"/>
      <c r="W27" s="8">
        <f>U27/درآمدها!$J$5</f>
        <v>1.6722836035593623E-2</v>
      </c>
      <c r="Z27" s="149"/>
      <c r="AC27" s="149"/>
      <c r="AD27" s="150"/>
      <c r="AE27" s="149"/>
      <c r="AF27" s="150"/>
      <c r="AG27" s="149"/>
    </row>
    <row r="28" spans="1:33" ht="28.5" customHeight="1">
      <c r="A28" s="4" t="s">
        <v>141</v>
      </c>
      <c r="C28" s="255">
        <v>271500</v>
      </c>
      <c r="E28" s="4">
        <v>2771814525</v>
      </c>
      <c r="G28" s="255">
        <v>2960633791</v>
      </c>
      <c r="I28" s="4">
        <v>0</v>
      </c>
      <c r="J28" s="4">
        <v>0</v>
      </c>
      <c r="K28" s="148"/>
      <c r="L28" s="4">
        <v>271500</v>
      </c>
      <c r="M28" s="4">
        <v>3112860059</v>
      </c>
      <c r="O28" s="4">
        <v>0</v>
      </c>
      <c r="Q28" s="256">
        <v>0</v>
      </c>
      <c r="S28" s="4">
        <v>0</v>
      </c>
      <c r="U28" s="255">
        <v>0</v>
      </c>
      <c r="V28" s="148"/>
      <c r="W28" s="8">
        <f>U28/درآمدها!$J$5</f>
        <v>0</v>
      </c>
      <c r="Z28" s="149"/>
      <c r="AC28" s="149"/>
      <c r="AD28" s="150"/>
      <c r="AE28" s="149"/>
      <c r="AF28" s="150"/>
      <c r="AG28" s="149"/>
    </row>
    <row r="29" spans="1:33" ht="28.5" customHeight="1">
      <c r="A29" s="4" t="s">
        <v>123</v>
      </c>
      <c r="C29" s="255">
        <v>64886</v>
      </c>
      <c r="E29" s="4">
        <v>1121315880</v>
      </c>
      <c r="G29" s="255">
        <v>1484143354</v>
      </c>
      <c r="I29" s="4">
        <v>0</v>
      </c>
      <c r="J29" s="4">
        <v>0</v>
      </c>
      <c r="K29" s="148"/>
      <c r="L29" s="4">
        <v>0</v>
      </c>
      <c r="M29" s="4">
        <v>0</v>
      </c>
      <c r="O29" s="4">
        <v>64886</v>
      </c>
      <c r="Q29" s="256">
        <v>23530</v>
      </c>
      <c r="S29" s="4">
        <v>1121315880</v>
      </c>
      <c r="U29" s="255">
        <v>1517683315</v>
      </c>
      <c r="V29" s="148"/>
      <c r="W29" s="8">
        <f>U29/درآمدها!$J$5</f>
        <v>1.6688751900803763E-2</v>
      </c>
      <c r="Z29" s="149"/>
      <c r="AC29" s="149"/>
      <c r="AD29" s="150"/>
      <c r="AE29" s="149"/>
      <c r="AF29" s="150"/>
      <c r="AG29" s="149"/>
    </row>
    <row r="30" spans="1:33" ht="28.5" customHeight="1">
      <c r="A30" s="4" t="s">
        <v>121</v>
      </c>
      <c r="C30" s="255">
        <v>227817</v>
      </c>
      <c r="E30" s="4">
        <v>2962200639</v>
      </c>
      <c r="G30" s="255">
        <v>2400491785</v>
      </c>
      <c r="I30" s="4">
        <v>0</v>
      </c>
      <c r="J30" s="4">
        <v>0</v>
      </c>
      <c r="K30" s="148"/>
      <c r="L30" s="4">
        <v>39563</v>
      </c>
      <c r="M30" s="4">
        <v>441540509</v>
      </c>
      <c r="O30" s="4">
        <v>188254</v>
      </c>
      <c r="Q30" s="256">
        <v>11270</v>
      </c>
      <c r="S30" s="4">
        <v>2447780978</v>
      </c>
      <c r="U30" s="255">
        <v>2108998930</v>
      </c>
      <c r="V30" s="148"/>
      <c r="W30" s="8">
        <f>U30/درآمدها!$J$5</f>
        <v>2.3190977692095535E-2</v>
      </c>
      <c r="Z30" s="149"/>
      <c r="AC30" s="149"/>
      <c r="AD30" s="150"/>
      <c r="AE30" s="149"/>
      <c r="AF30" s="150"/>
      <c r="AG30" s="149"/>
    </row>
    <row r="31" spans="1:33" ht="28.5" customHeight="1">
      <c r="A31" s="4" t="s">
        <v>105</v>
      </c>
      <c r="C31" s="255">
        <v>36974</v>
      </c>
      <c r="E31" s="4">
        <v>945143090</v>
      </c>
      <c r="G31" s="255">
        <v>931346483</v>
      </c>
      <c r="I31" s="4">
        <v>0</v>
      </c>
      <c r="J31" s="4">
        <v>0</v>
      </c>
      <c r="K31" s="148"/>
      <c r="L31" s="4">
        <v>0</v>
      </c>
      <c r="M31" s="4">
        <v>0</v>
      </c>
      <c r="O31" s="4">
        <v>36974</v>
      </c>
      <c r="Q31" s="256">
        <v>26730</v>
      </c>
      <c r="S31" s="4">
        <v>945143090</v>
      </c>
      <c r="U31" s="255">
        <v>982434549</v>
      </c>
      <c r="V31" s="148"/>
      <c r="W31" s="8">
        <f>U31/درآمدها!$J$5</f>
        <v>1.0803048491732964E-2</v>
      </c>
      <c r="Z31" s="149"/>
      <c r="AC31" s="149"/>
      <c r="AD31" s="150"/>
      <c r="AE31" s="149"/>
      <c r="AF31" s="150"/>
      <c r="AG31" s="149"/>
    </row>
    <row r="32" spans="1:33" ht="28.5" customHeight="1">
      <c r="A32" s="4" t="s">
        <v>163</v>
      </c>
      <c r="C32" s="255">
        <v>67531</v>
      </c>
      <c r="E32" s="4">
        <v>399341348</v>
      </c>
      <c r="G32" s="255">
        <v>374845676</v>
      </c>
      <c r="I32" s="4">
        <v>0</v>
      </c>
      <c r="J32" s="4">
        <v>0</v>
      </c>
      <c r="K32" s="148"/>
      <c r="L32" s="4">
        <v>0</v>
      </c>
      <c r="M32" s="4">
        <v>0</v>
      </c>
      <c r="O32" s="4">
        <v>67531</v>
      </c>
      <c r="Q32" s="256">
        <v>5490</v>
      </c>
      <c r="S32" s="4">
        <v>399341348</v>
      </c>
      <c r="U32" s="255">
        <v>367482637</v>
      </c>
      <c r="V32" s="148"/>
      <c r="W32" s="8">
        <f>U32/درآمدها!$J$5</f>
        <v>4.0409132103729614E-3</v>
      </c>
      <c r="Z32" s="4"/>
      <c r="AA32" s="149"/>
      <c r="AC32" s="149"/>
      <c r="AD32" s="150"/>
      <c r="AE32" s="149"/>
      <c r="AF32" s="150"/>
      <c r="AG32" s="149"/>
    </row>
    <row r="33" spans="1:33" ht="28.5" customHeight="1" thickBot="1">
      <c r="A33" s="4" t="s">
        <v>2</v>
      </c>
      <c r="C33" s="255"/>
      <c r="E33" s="116">
        <f>SUM(E10:E32)</f>
        <v>66407852487</v>
      </c>
      <c r="G33" s="257">
        <f>SUM(G10:G32)</f>
        <v>58195257984</v>
      </c>
      <c r="J33" s="116">
        <f>SUM(J10:J32)</f>
        <v>7991491356</v>
      </c>
      <c r="K33" s="148"/>
      <c r="M33" s="116">
        <f>SUM(M10:M32)</f>
        <v>11435913130</v>
      </c>
      <c r="S33" s="116">
        <f>SUM(S10:S32)</f>
        <v>62420119625</v>
      </c>
      <c r="U33" s="116">
        <f>SUM(U10:U32)</f>
        <v>58084620917</v>
      </c>
      <c r="V33" s="148"/>
      <c r="W33" s="54">
        <f>SUM(W10:W32)</f>
        <v>0.63871020927448863</v>
      </c>
      <c r="Z33" s="149"/>
      <c r="AC33" s="149"/>
      <c r="AD33" s="150"/>
      <c r="AE33" s="149"/>
      <c r="AF33" s="150"/>
      <c r="AG33" s="149"/>
    </row>
    <row r="34" spans="1:33" ht="31.5" thickTop="1">
      <c r="A34" s="4"/>
    </row>
    <row r="35" spans="1:33" s="152" customFormat="1" ht="15.75"/>
    <row r="36" spans="1:33" s="152" customFormat="1" ht="15.75"/>
    <row r="37" spans="1:33" s="152" customFormat="1" ht="15.75"/>
    <row r="38" spans="1:33" s="152" customFormat="1" ht="15.75"/>
    <row r="39" spans="1:33" s="152" customFormat="1" ht="15.75"/>
    <row r="40" spans="1:33" s="152" customFormat="1" ht="15.75"/>
    <row r="41" spans="1:33" s="152" customFormat="1" ht="15.75"/>
    <row r="42" spans="1:33" s="152" customFormat="1" ht="15.75"/>
    <row r="43" spans="1:33">
      <c r="B43" s="4"/>
    </row>
    <row r="44" spans="1:33">
      <c r="B44" s="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24"/>
  <sheetViews>
    <sheetView rightToLeft="1" view="pageBreakPreview" zoomScale="55" zoomScaleNormal="100" zoomScaleSheetLayoutView="55" workbookViewId="0">
      <selection activeCell="AE21" sqref="AE21"/>
    </sheetView>
  </sheetViews>
  <sheetFormatPr defaultColWidth="9.140625" defaultRowHeight="27.75"/>
  <cols>
    <col min="1" max="1" width="45.140625" style="154" bestFit="1" customWidth="1"/>
    <col min="2" max="2" width="0.5703125" style="154" customWidth="1"/>
    <col min="3" max="3" width="24.28515625" style="154" bestFit="1" customWidth="1"/>
    <col min="4" max="4" width="0.5703125" style="154" customWidth="1"/>
    <col min="5" max="5" width="37.42578125" style="154" bestFit="1" customWidth="1"/>
    <col min="6" max="6" width="0.5703125" style="154" customWidth="1"/>
    <col min="7" max="7" width="20.28515625" style="154" bestFit="1" customWidth="1"/>
    <col min="8" max="8" width="0.5703125" style="154" customWidth="1"/>
    <col min="9" max="9" width="16.7109375" style="154" bestFit="1" customWidth="1"/>
    <col min="10" max="10" width="0.42578125" style="154" customWidth="1"/>
    <col min="11" max="11" width="17.28515625" style="154" bestFit="1" customWidth="1"/>
    <col min="12" max="12" width="0.7109375" style="154" customWidth="1"/>
    <col min="13" max="13" width="12" style="154" bestFit="1" customWidth="1"/>
    <col min="14" max="14" width="1.140625" style="154" customWidth="1"/>
    <col min="15" max="15" width="24" style="154" bestFit="1" customWidth="1"/>
    <col min="16" max="16" width="0.5703125" style="154" customWidth="1"/>
    <col min="17" max="17" width="24" style="154" bestFit="1" customWidth="1"/>
    <col min="18" max="18" width="0.5703125" style="154" customWidth="1"/>
    <col min="19" max="19" width="7.85546875" style="154" bestFit="1" customWidth="1"/>
    <col min="20" max="20" width="17.28515625" style="154" bestFit="1" customWidth="1"/>
    <col min="21" max="21" width="0.5703125" style="154" customWidth="1"/>
    <col min="22" max="22" width="12" style="154" bestFit="1" customWidth="1"/>
    <col min="23" max="23" width="24" style="154" bestFit="1" customWidth="1"/>
    <col min="24" max="24" width="0.5703125" style="154" customWidth="1"/>
    <col min="25" max="25" width="12" style="154" bestFit="1" customWidth="1"/>
    <col min="26" max="26" width="0.42578125" style="154" customWidth="1"/>
    <col min="27" max="27" width="21" style="154" bestFit="1" customWidth="1"/>
    <col min="28" max="28" width="0.7109375" style="154" customWidth="1"/>
    <col min="29" max="29" width="24" style="154" bestFit="1" customWidth="1"/>
    <col min="30" max="30" width="0.7109375" style="154" customWidth="1"/>
    <col min="31" max="31" width="24" style="154" bestFit="1" customWidth="1"/>
    <col min="32" max="32" width="0.7109375" style="154" customWidth="1"/>
    <col min="33" max="33" width="23" style="154" bestFit="1" customWidth="1"/>
    <col min="34" max="34" width="20.5703125" style="179" customWidth="1"/>
    <col min="35" max="35" width="25.42578125" style="179" bestFit="1" customWidth="1"/>
    <col min="36" max="37" width="9.140625" style="179"/>
    <col min="38" max="16384" width="9.140625" style="154"/>
  </cols>
  <sheetData>
    <row r="1" spans="1:37" s="153" customFormat="1" ht="27">
      <c r="A1" s="281" t="s">
        <v>87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178"/>
      <c r="AI1" s="178"/>
      <c r="AJ1" s="178"/>
      <c r="AK1" s="178"/>
    </row>
    <row r="2" spans="1:37" s="153" customFormat="1" ht="27">
      <c r="A2" s="281" t="s">
        <v>46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178"/>
      <c r="AI2" s="178"/>
      <c r="AJ2" s="178"/>
      <c r="AK2" s="178"/>
    </row>
    <row r="3" spans="1:37" s="153" customFormat="1" ht="27">
      <c r="A3" s="281" t="str">
        <f>' سهام'!A3:W3</f>
        <v>برای ماه منتهی به 1403/06/31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178"/>
      <c r="AI3" s="178"/>
      <c r="AJ3" s="178"/>
      <c r="AK3" s="178"/>
    </row>
    <row r="4" spans="1:37">
      <c r="A4" s="282" t="s">
        <v>63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</row>
    <row r="5" spans="1:37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</row>
    <row r="6" spans="1:37" ht="27.75" customHeight="1" thickBot="1">
      <c r="A6" s="283" t="s">
        <v>64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 t="str">
        <f>' سهام'!C7</f>
        <v>1403/05/31</v>
      </c>
      <c r="N6" s="283"/>
      <c r="O6" s="283"/>
      <c r="P6" s="283"/>
      <c r="Q6" s="283"/>
      <c r="R6" s="247"/>
      <c r="S6" s="284" t="s">
        <v>7</v>
      </c>
      <c r="T6" s="284"/>
      <c r="U6" s="284"/>
      <c r="V6" s="284"/>
      <c r="W6" s="284"/>
      <c r="X6" s="245"/>
      <c r="Y6" s="283" t="str">
        <f>' سهام'!O7</f>
        <v>1403/06/31</v>
      </c>
      <c r="Z6" s="283"/>
      <c r="AA6" s="283"/>
      <c r="AB6" s="283"/>
      <c r="AC6" s="283"/>
      <c r="AD6" s="283"/>
      <c r="AE6" s="283"/>
      <c r="AF6" s="283"/>
      <c r="AG6" s="283"/>
    </row>
    <row r="7" spans="1:37" ht="26.25" customHeight="1">
      <c r="A7" s="286" t="s">
        <v>65</v>
      </c>
      <c r="B7" s="246"/>
      <c r="C7" s="287" t="s">
        <v>66</v>
      </c>
      <c r="D7" s="246"/>
      <c r="E7" s="289" t="s">
        <v>71</v>
      </c>
      <c r="F7" s="246"/>
      <c r="G7" s="285" t="s">
        <v>67</v>
      </c>
      <c r="H7" s="246"/>
      <c r="I7" s="287" t="s">
        <v>20</v>
      </c>
      <c r="J7" s="246"/>
      <c r="K7" s="289" t="s">
        <v>68</v>
      </c>
      <c r="L7" s="155"/>
      <c r="M7" s="290" t="s">
        <v>3</v>
      </c>
      <c r="N7" s="285"/>
      <c r="O7" s="285" t="s">
        <v>0</v>
      </c>
      <c r="P7" s="285"/>
      <c r="Q7" s="285" t="s">
        <v>18</v>
      </c>
      <c r="R7" s="246"/>
      <c r="S7" s="281" t="s">
        <v>4</v>
      </c>
      <c r="T7" s="281"/>
      <c r="U7" s="245"/>
      <c r="V7" s="281" t="s">
        <v>5</v>
      </c>
      <c r="W7" s="281"/>
      <c r="X7" s="245"/>
      <c r="Y7" s="290" t="s">
        <v>3</v>
      </c>
      <c r="Z7" s="286"/>
      <c r="AA7" s="285" t="s">
        <v>69</v>
      </c>
      <c r="AB7" s="246"/>
      <c r="AC7" s="285" t="s">
        <v>0</v>
      </c>
      <c r="AD7" s="286"/>
      <c r="AE7" s="285" t="s">
        <v>18</v>
      </c>
      <c r="AF7" s="156"/>
      <c r="AG7" s="285" t="s">
        <v>19</v>
      </c>
    </row>
    <row r="8" spans="1:37" s="159" customFormat="1" ht="55.5" customHeight="1" thickBot="1">
      <c r="A8" s="283"/>
      <c r="B8" s="246"/>
      <c r="C8" s="288"/>
      <c r="D8" s="246"/>
      <c r="E8" s="288"/>
      <c r="F8" s="246"/>
      <c r="G8" s="283"/>
      <c r="H8" s="246"/>
      <c r="I8" s="288"/>
      <c r="J8" s="246"/>
      <c r="K8" s="288"/>
      <c r="L8" s="247"/>
      <c r="M8" s="291"/>
      <c r="N8" s="286"/>
      <c r="O8" s="283"/>
      <c r="P8" s="286"/>
      <c r="Q8" s="283"/>
      <c r="R8" s="246"/>
      <c r="S8" s="157" t="s">
        <v>3</v>
      </c>
      <c r="T8" s="157" t="s">
        <v>0</v>
      </c>
      <c r="U8" s="158"/>
      <c r="V8" s="157" t="s">
        <v>3</v>
      </c>
      <c r="W8" s="157" t="s">
        <v>45</v>
      </c>
      <c r="X8" s="158"/>
      <c r="Y8" s="291"/>
      <c r="Z8" s="286"/>
      <c r="AA8" s="283"/>
      <c r="AB8" s="246"/>
      <c r="AC8" s="283"/>
      <c r="AD8" s="286"/>
      <c r="AE8" s="283"/>
      <c r="AF8" s="156"/>
      <c r="AG8" s="283"/>
      <c r="AH8" s="249"/>
      <c r="AI8" s="249"/>
      <c r="AJ8" s="249"/>
      <c r="AK8" s="249"/>
    </row>
    <row r="9" spans="1:37" s="159" customFormat="1" ht="55.5" customHeight="1">
      <c r="A9" s="160" t="s">
        <v>112</v>
      </c>
      <c r="B9" s="246"/>
      <c r="C9" s="161" t="s">
        <v>109</v>
      </c>
      <c r="D9" s="143"/>
      <c r="E9" s="161" t="s">
        <v>109</v>
      </c>
      <c r="F9" s="143"/>
      <c r="G9" s="161" t="s">
        <v>115</v>
      </c>
      <c r="H9" s="143"/>
      <c r="I9" s="161" t="s">
        <v>117</v>
      </c>
      <c r="J9" s="161"/>
      <c r="K9" s="162">
        <v>1000000</v>
      </c>
      <c r="L9" s="247"/>
      <c r="M9" s="4">
        <v>13420</v>
      </c>
      <c r="N9" s="148"/>
      <c r="O9" s="4">
        <v>9046611948</v>
      </c>
      <c r="P9" s="4"/>
      <c r="Q9" s="4">
        <v>10423034884</v>
      </c>
      <c r="R9" s="4"/>
      <c r="S9" s="4">
        <v>0</v>
      </c>
      <c r="T9" s="4">
        <v>0</v>
      </c>
      <c r="U9" s="4"/>
      <c r="V9" s="4">
        <v>0</v>
      </c>
      <c r="W9" s="4">
        <v>0</v>
      </c>
      <c r="X9" s="4"/>
      <c r="Y9" s="4">
        <v>13420</v>
      </c>
      <c r="Z9" s="4"/>
      <c r="AA9" s="258">
        <v>785410</v>
      </c>
      <c r="AB9" s="4"/>
      <c r="AC9" s="4">
        <v>9046611948</v>
      </c>
      <c r="AD9" s="4"/>
      <c r="AE9" s="4">
        <v>10538291790</v>
      </c>
      <c r="AG9" s="8">
        <f>AE9/درآمدها!$J$5</f>
        <v>0.11588118245971965</v>
      </c>
      <c r="AH9" s="180"/>
      <c r="AI9" s="181"/>
      <c r="AJ9" s="249"/>
      <c r="AK9" s="249"/>
    </row>
    <row r="10" spans="1:37" s="159" customFormat="1" ht="55.5" customHeight="1">
      <c r="A10" s="160" t="s">
        <v>127</v>
      </c>
      <c r="B10" s="246"/>
      <c r="C10" s="161" t="s">
        <v>109</v>
      </c>
      <c r="D10" s="143"/>
      <c r="E10" s="161" t="s">
        <v>109</v>
      </c>
      <c r="F10" s="143"/>
      <c r="G10" s="161" t="s">
        <v>128</v>
      </c>
      <c r="H10" s="143"/>
      <c r="I10" s="161" t="s">
        <v>129</v>
      </c>
      <c r="J10" s="161"/>
      <c r="K10" s="162">
        <v>1000000</v>
      </c>
      <c r="L10" s="247"/>
      <c r="M10" s="4">
        <v>8000</v>
      </c>
      <c r="N10" s="148"/>
      <c r="O10" s="4">
        <v>4953173588</v>
      </c>
      <c r="P10" s="4"/>
      <c r="Q10" s="4">
        <v>5708245194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8000</v>
      </c>
      <c r="Z10" s="4"/>
      <c r="AA10" s="258">
        <v>722170</v>
      </c>
      <c r="AB10" s="4"/>
      <c r="AC10" s="4">
        <v>4953173588</v>
      </c>
      <c r="AD10" s="4"/>
      <c r="AE10" s="4">
        <v>5776312854</v>
      </c>
      <c r="AG10" s="8">
        <f>AE10/درآمدها!$J$5</f>
        <v>6.3517501424089712E-2</v>
      </c>
      <c r="AH10" s="180"/>
      <c r="AI10" s="181"/>
      <c r="AJ10" s="249"/>
      <c r="AK10" s="249"/>
    </row>
    <row r="11" spans="1:37" s="159" customFormat="1" ht="55.5" customHeight="1" thickBot="1">
      <c r="A11" s="160" t="s">
        <v>114</v>
      </c>
      <c r="B11" s="246"/>
      <c r="C11" s="161" t="s">
        <v>109</v>
      </c>
      <c r="D11" s="143"/>
      <c r="E11" s="161" t="s">
        <v>109</v>
      </c>
      <c r="F11" s="143"/>
      <c r="G11" s="161" t="s">
        <v>116</v>
      </c>
      <c r="H11" s="143"/>
      <c r="I11" s="161" t="s">
        <v>118</v>
      </c>
      <c r="J11" s="161"/>
      <c r="K11" s="162">
        <v>1000000</v>
      </c>
      <c r="L11" s="247"/>
      <c r="M11" s="4">
        <v>11290</v>
      </c>
      <c r="N11" s="148"/>
      <c r="O11" s="4">
        <v>6193536840</v>
      </c>
      <c r="P11" s="4"/>
      <c r="Q11" s="4">
        <v>6983405431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11290</v>
      </c>
      <c r="Z11" s="4"/>
      <c r="AA11" s="258">
        <v>622540</v>
      </c>
      <c r="AB11" s="4"/>
      <c r="AC11" s="4">
        <v>6193536840</v>
      </c>
      <c r="AD11" s="4"/>
      <c r="AE11" s="4">
        <v>7027202691</v>
      </c>
      <c r="AG11" s="8">
        <f>AE11/درآمدها!$J$5</f>
        <v>7.727253841936027E-2</v>
      </c>
      <c r="AH11" s="180"/>
      <c r="AI11" s="181"/>
      <c r="AJ11" s="249"/>
      <c r="AK11" s="249"/>
    </row>
    <row r="12" spans="1:37" s="166" customFormat="1" ht="32.25" thickBot="1">
      <c r="A12" s="144" t="s">
        <v>2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4"/>
      <c r="N12" s="154"/>
      <c r="O12" s="163">
        <f>SUM(O9:O11)</f>
        <v>20193322376</v>
      </c>
      <c r="P12" s="154"/>
      <c r="Q12" s="163">
        <f>SUM(Q9:Q11)</f>
        <v>23114685509</v>
      </c>
      <c r="R12" s="154"/>
      <c r="S12" s="164"/>
      <c r="T12" s="163">
        <f>SUM(T9:T11)</f>
        <v>0</v>
      </c>
      <c r="U12" s="154"/>
      <c r="V12" s="164"/>
      <c r="W12" s="163">
        <f>SUM(W9:W11)</f>
        <v>0</v>
      </c>
      <c r="X12" s="154"/>
      <c r="Y12" s="164"/>
      <c r="Z12" s="154"/>
      <c r="AA12" s="154"/>
      <c r="AB12" s="154"/>
      <c r="AC12" s="163">
        <f>SUM(AC9:AC11)</f>
        <v>20193322376</v>
      </c>
      <c r="AD12" s="154"/>
      <c r="AE12" s="163">
        <f>SUM(AE9:AE11)</f>
        <v>23341807335</v>
      </c>
      <c r="AF12" s="154"/>
      <c r="AG12" s="165">
        <f>SUM(AG9:AG11)</f>
        <v>0.25667122230316963</v>
      </c>
      <c r="AH12" s="182"/>
      <c r="AI12" s="182"/>
      <c r="AJ12" s="182"/>
      <c r="AK12" s="182"/>
    </row>
    <row r="13" spans="1:37" s="167" customFormat="1" ht="32.25" thickTop="1">
      <c r="M13" s="154"/>
      <c r="N13" s="154"/>
      <c r="P13" s="154"/>
      <c r="R13" s="154"/>
      <c r="S13" s="154"/>
      <c r="U13" s="154"/>
      <c r="V13" s="154"/>
      <c r="X13" s="154"/>
      <c r="Y13" s="154"/>
      <c r="Z13" s="154"/>
      <c r="AA13" s="154"/>
      <c r="AB13" s="154"/>
      <c r="AD13" s="154"/>
      <c r="AF13" s="154"/>
      <c r="AH13" s="179"/>
      <c r="AI13" s="179"/>
      <c r="AJ13" s="179"/>
      <c r="AK13" s="179"/>
    </row>
    <row r="14" spans="1:37" s="4" customFormat="1" ht="30.75">
      <c r="W14" s="150"/>
      <c r="AC14" s="150"/>
      <c r="AE14" s="150"/>
      <c r="AH14" s="181"/>
      <c r="AI14" s="181"/>
      <c r="AJ14" s="181"/>
      <c r="AK14" s="181"/>
    </row>
    <row r="15" spans="1:37" s="4" customFormat="1" ht="30.75"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G15" s="8"/>
      <c r="AH15" s="181"/>
      <c r="AI15" s="181"/>
      <c r="AJ15" s="181"/>
      <c r="AK15" s="181"/>
    </row>
    <row r="16" spans="1:37" s="4" customFormat="1" ht="30.75"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G16" s="8"/>
      <c r="AH16" s="181"/>
      <c r="AI16" s="181"/>
      <c r="AJ16" s="181"/>
      <c r="AK16" s="181"/>
    </row>
    <row r="17" spans="29:37" s="4" customFormat="1" ht="30.75">
      <c r="AC17" s="8"/>
      <c r="AG17" s="8"/>
      <c r="AH17" s="181"/>
      <c r="AI17" s="181"/>
      <c r="AJ17" s="181"/>
      <c r="AK17" s="181"/>
    </row>
    <row r="18" spans="29:37" s="4" customFormat="1" ht="30.75">
      <c r="AC18" s="168"/>
      <c r="AG18" s="10"/>
      <c r="AH18" s="181"/>
      <c r="AI18" s="181"/>
      <c r="AJ18" s="181"/>
      <c r="AK18" s="181"/>
    </row>
    <row r="19" spans="29:37" s="4" customFormat="1" ht="30.75">
      <c r="AH19" s="181"/>
      <c r="AI19" s="181"/>
      <c r="AJ19" s="181"/>
      <c r="AK19" s="181"/>
    </row>
    <row r="20" spans="29:37" s="4" customFormat="1" ht="30.75">
      <c r="AH20" s="181"/>
      <c r="AI20" s="181"/>
      <c r="AJ20" s="181"/>
      <c r="AK20" s="181"/>
    </row>
    <row r="21" spans="29:37" s="4" customFormat="1" ht="30.75">
      <c r="AH21" s="181"/>
      <c r="AI21" s="181"/>
      <c r="AJ21" s="181"/>
      <c r="AK21" s="181"/>
    </row>
    <row r="22" spans="29:37" s="4" customFormat="1" ht="30.75">
      <c r="AH22" s="181"/>
      <c r="AI22" s="181"/>
      <c r="AJ22" s="181"/>
      <c r="AK22" s="181"/>
    </row>
    <row r="23" spans="29:37" s="4" customFormat="1" ht="30.75">
      <c r="AH23" s="181"/>
      <c r="AI23" s="181"/>
      <c r="AJ23" s="181"/>
      <c r="AK23" s="181"/>
    </row>
    <row r="24" spans="29:37" s="4" customFormat="1" ht="30.75">
      <c r="AH24" s="181"/>
      <c r="AI24" s="181"/>
      <c r="AJ24" s="181"/>
      <c r="AK24" s="181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97" bestFit="1" customWidth="1"/>
    <col min="15" max="15" width="22.28515625" style="110" customWidth="1"/>
  </cols>
  <sheetData>
    <row r="1" spans="1:15" s="99" customFormat="1" ht="26.25">
      <c r="A1" s="294" t="s">
        <v>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97"/>
      <c r="O1" s="98"/>
    </row>
    <row r="2" spans="1:15" s="99" customFormat="1" ht="23.25" customHeight="1">
      <c r="A2" s="294" t="s">
        <v>46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97"/>
      <c r="O2" s="98"/>
    </row>
    <row r="3" spans="1:15" s="99" customFormat="1" ht="24" customHeight="1">
      <c r="A3" s="294" t="str">
        <f>' سهام'!A3:W3</f>
        <v>برای ماه منتهی به 1403/06/31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97"/>
      <c r="O3" s="98"/>
    </row>
    <row r="5" spans="1:15" s="100" customFormat="1">
      <c r="A5" s="295" t="s">
        <v>130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97"/>
      <c r="O5" s="98"/>
    </row>
    <row r="6" spans="1:15" s="100" customFormat="1">
      <c r="A6" s="295" t="s">
        <v>131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97"/>
      <c r="O6" s="98"/>
    </row>
    <row r="7" spans="1:15" s="100" customFormat="1" ht="27" customHeight="1">
      <c r="N7" s="97"/>
      <c r="O7" s="98"/>
    </row>
    <row r="8" spans="1:15" s="100" customFormat="1">
      <c r="C8" s="292" t="str">
        <f>اوراق!Y6</f>
        <v>1403/06/31</v>
      </c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97"/>
      <c r="O8" s="98"/>
    </row>
    <row r="9" spans="1:15" s="100" customFormat="1" ht="42">
      <c r="A9" s="101" t="s">
        <v>132</v>
      </c>
      <c r="C9" s="101" t="s">
        <v>133</v>
      </c>
      <c r="E9" s="102" t="s">
        <v>134</v>
      </c>
      <c r="G9" s="101" t="s">
        <v>135</v>
      </c>
      <c r="I9" s="101" t="s">
        <v>136</v>
      </c>
      <c r="K9" s="102" t="s">
        <v>137</v>
      </c>
      <c r="M9" s="101" t="s">
        <v>138</v>
      </c>
      <c r="N9" s="97"/>
      <c r="O9" s="103"/>
    </row>
    <row r="10" spans="1:15" ht="36.75" customHeight="1">
      <c r="A10" s="16"/>
      <c r="B10" s="104"/>
      <c r="C10" s="105"/>
      <c r="D10" s="106"/>
      <c r="E10" s="118"/>
      <c r="F10" s="107"/>
      <c r="G10" s="107"/>
      <c r="H10" s="104"/>
      <c r="I10" s="117"/>
      <c r="J10" s="104"/>
      <c r="K10" s="107">
        <f>IFERROR(VLOOKUP(A10,' سهام'!$A$10:$U$32,21,0),0)</f>
        <v>0</v>
      </c>
      <c r="L10" s="108"/>
      <c r="M10" s="114"/>
      <c r="N10" s="109"/>
    </row>
    <row r="11" spans="1:15" ht="23.25" thickBot="1">
      <c r="A11" s="111"/>
      <c r="B11" s="104"/>
      <c r="C11" s="112"/>
      <c r="D11" s="111"/>
      <c r="E11" s="113"/>
      <c r="F11" s="111"/>
      <c r="G11" s="113"/>
      <c r="H11" s="104"/>
      <c r="I11" s="104"/>
      <c r="J11" s="104"/>
      <c r="K11" s="113">
        <f>SUM(K10)</f>
        <v>0</v>
      </c>
      <c r="L11" s="104"/>
      <c r="M11" s="104"/>
    </row>
    <row r="12" spans="1:15" ht="23.25" thickTop="1"/>
    <row r="13" spans="1:15">
      <c r="C13" s="112"/>
      <c r="K13" s="112"/>
    </row>
    <row r="14" spans="1:15">
      <c r="C14" s="96"/>
    </row>
    <row r="15" spans="1:15">
      <c r="C15" s="112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9"/>
  <sheetViews>
    <sheetView rightToLeft="1" view="pageBreakPreview" zoomScaleNormal="100" zoomScaleSheetLayoutView="100" workbookViewId="0">
      <selection activeCell="E26" sqref="E26"/>
    </sheetView>
  </sheetViews>
  <sheetFormatPr defaultColWidth="9.140625" defaultRowHeight="15"/>
  <cols>
    <col min="1" max="1" width="39.140625" style="169" bestFit="1" customWidth="1"/>
    <col min="2" max="2" width="0.7109375" style="169" customWidth="1"/>
    <col min="3" max="3" width="21.28515625" style="15" customWidth="1"/>
    <col min="4" max="4" width="0.7109375" style="169" customWidth="1"/>
    <col min="5" max="5" width="22.28515625" style="169" customWidth="1"/>
    <col min="6" max="6" width="0.42578125" style="169" customWidth="1"/>
    <col min="7" max="7" width="22.140625" style="169" customWidth="1"/>
    <col min="8" max="8" width="0.42578125" style="169" customWidth="1"/>
    <col min="9" max="9" width="18.42578125" style="169" customWidth="1"/>
    <col min="10" max="10" width="0.5703125" style="169" customWidth="1"/>
    <col min="11" max="11" width="12.140625" style="169" customWidth="1"/>
    <col min="12" max="16384" width="9.140625" style="169"/>
  </cols>
  <sheetData>
    <row r="1" spans="1:19" ht="18.75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9" ht="18.75">
      <c r="A2" s="300" t="s">
        <v>46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9" ht="18.75">
      <c r="A3" s="300" t="str">
        <f>' سهام'!A3:W3</f>
        <v>برای ماه منتهی به 1403/06/31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pans="1:19" ht="18.75">
      <c r="A4" s="303" t="s">
        <v>47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5" spans="1:19" ht="18.75" thickBot="1">
      <c r="A5" s="170"/>
      <c r="B5" s="170"/>
      <c r="C5" s="11"/>
      <c r="D5" s="171"/>
      <c r="E5" s="171"/>
      <c r="F5" s="171"/>
      <c r="G5" s="171"/>
      <c r="H5" s="171"/>
      <c r="I5" s="171"/>
      <c r="J5" s="171"/>
      <c r="K5" s="171"/>
    </row>
    <row r="6" spans="1:19" ht="18.75" customHeight="1" thickBot="1">
      <c r="A6" s="172"/>
      <c r="B6" s="170"/>
      <c r="C6" s="248" t="str">
        <f>اوراق!M6</f>
        <v>1403/05/31</v>
      </c>
      <c r="D6" s="252"/>
      <c r="E6" s="299" t="s">
        <v>7</v>
      </c>
      <c r="F6" s="299"/>
      <c r="G6" s="299"/>
      <c r="H6" s="170"/>
      <c r="I6" s="304" t="str">
        <f>اوراق!Y6</f>
        <v>1403/06/31</v>
      </c>
      <c r="J6" s="305"/>
      <c r="K6" s="305"/>
    </row>
    <row r="7" spans="1:19" ht="24" customHeight="1">
      <c r="A7" s="308" t="s">
        <v>8</v>
      </c>
      <c r="B7" s="173"/>
      <c r="C7" s="310" t="s">
        <v>6</v>
      </c>
      <c r="D7" s="173"/>
      <c r="E7" s="297" t="s">
        <v>31</v>
      </c>
      <c r="F7" s="174"/>
      <c r="G7" s="297" t="s">
        <v>32</v>
      </c>
      <c r="H7" s="170"/>
      <c r="I7" s="306" t="s">
        <v>6</v>
      </c>
      <c r="J7" s="308"/>
      <c r="K7" s="301" t="s">
        <v>19</v>
      </c>
    </row>
    <row r="8" spans="1:19" ht="18.75" thickBot="1">
      <c r="A8" s="309"/>
      <c r="B8" s="173"/>
      <c r="C8" s="311"/>
      <c r="D8" s="173"/>
      <c r="E8" s="298"/>
      <c r="F8" s="170"/>
      <c r="G8" s="298"/>
      <c r="H8" s="170"/>
      <c r="I8" s="307"/>
      <c r="J8" s="308"/>
      <c r="K8" s="302"/>
    </row>
    <row r="9" spans="1:19" s="170" customFormat="1" ht="18">
      <c r="A9" s="175" t="s">
        <v>142</v>
      </c>
      <c r="C9" s="12">
        <v>240000000</v>
      </c>
      <c r="D9" s="12"/>
      <c r="E9" s="12">
        <v>0</v>
      </c>
      <c r="F9" s="12"/>
      <c r="G9" s="12">
        <v>0</v>
      </c>
      <c r="H9" s="12"/>
      <c r="I9" s="12">
        <v>240000000</v>
      </c>
      <c r="K9" s="13">
        <f>I9/درآمدها!$J$5</f>
        <v>2.6390884162766875E-3</v>
      </c>
      <c r="L9" s="150"/>
      <c r="M9" s="176"/>
      <c r="N9" s="150"/>
      <c r="O9" s="176"/>
      <c r="P9" s="150"/>
      <c r="Q9" s="176"/>
      <c r="R9" s="150"/>
      <c r="S9" s="176"/>
    </row>
    <row r="10" spans="1:19" s="170" customFormat="1" ht="18">
      <c r="A10" s="175" t="s">
        <v>153</v>
      </c>
      <c r="C10" s="12">
        <v>850603216</v>
      </c>
      <c r="D10" s="12"/>
      <c r="E10" s="12">
        <v>9466491600</v>
      </c>
      <c r="F10" s="12"/>
      <c r="G10" s="12">
        <v>5520344040</v>
      </c>
      <c r="H10" s="12"/>
      <c r="I10" s="12">
        <v>4796750776</v>
      </c>
      <c r="K10" s="13">
        <f>I10/درآمدها!$J$5</f>
        <v>5.2746039202949214E-2</v>
      </c>
      <c r="L10" s="150"/>
      <c r="M10" s="176"/>
      <c r="N10" s="150"/>
      <c r="O10" s="176"/>
      <c r="P10" s="150"/>
      <c r="Q10" s="176"/>
      <c r="R10" s="150"/>
      <c r="S10" s="176"/>
    </row>
    <row r="11" spans="1:19" s="170" customFormat="1" ht="18.75" thickBot="1">
      <c r="A11" s="175" t="s">
        <v>96</v>
      </c>
      <c r="C11" s="12">
        <v>1609911</v>
      </c>
      <c r="D11" s="12"/>
      <c r="E11" s="12">
        <v>5816150</v>
      </c>
      <c r="F11" s="12"/>
      <c r="G11" s="12">
        <v>6022400</v>
      </c>
      <c r="H11" s="12"/>
      <c r="I11" s="12">
        <v>1403661</v>
      </c>
      <c r="K11" s="13">
        <f>I11/درآمدها!$J$5</f>
        <v>1.543493952283063E-5</v>
      </c>
      <c r="L11" s="150"/>
      <c r="M11" s="176"/>
      <c r="N11" s="150"/>
      <c r="O11" s="176"/>
      <c r="P11" s="150"/>
      <c r="Q11" s="176"/>
      <c r="S11" s="176"/>
    </row>
    <row r="12" spans="1:19" s="170" customFormat="1" ht="24" customHeight="1" thickBot="1">
      <c r="A12" s="173" t="s">
        <v>2</v>
      </c>
      <c r="B12" s="173"/>
      <c r="C12" s="259">
        <f>SUM(C9:C11)</f>
        <v>1092213127</v>
      </c>
      <c r="E12" s="260">
        <f>SUM(E9:E11)</f>
        <v>9472307750</v>
      </c>
      <c r="G12" s="260">
        <f>SUM(G9:G11)</f>
        <v>5526366440</v>
      </c>
      <c r="I12" s="260">
        <f>SUM(I9:I11)</f>
        <v>5038154437</v>
      </c>
      <c r="K12" s="14">
        <f>SUM(K9:K11)</f>
        <v>5.5400562558748728E-2</v>
      </c>
    </row>
    <row r="13" spans="1:19" ht="18.75" thickTop="1">
      <c r="D13" s="170"/>
      <c r="F13" s="170"/>
      <c r="H13" s="170"/>
      <c r="J13" s="170"/>
    </row>
    <row r="14" spans="1:19" ht="18">
      <c r="D14" s="170"/>
      <c r="F14" s="170"/>
      <c r="H14" s="170"/>
      <c r="J14" s="170"/>
    </row>
    <row r="15" spans="1:19" ht="18"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9" ht="18">
      <c r="C16" s="150"/>
      <c r="D16" s="177"/>
      <c r="E16" s="177"/>
      <c r="F16" s="177"/>
      <c r="G16" s="177"/>
      <c r="H16" s="177"/>
      <c r="I16" s="177"/>
      <c r="J16" s="175"/>
      <c r="K16" s="175"/>
      <c r="L16" s="175"/>
    </row>
    <row r="17" spans="3:12" ht="18.75">
      <c r="C17" s="241"/>
      <c r="D17" s="175"/>
      <c r="E17" s="241"/>
      <c r="F17" s="175"/>
      <c r="G17" s="241"/>
      <c r="H17" s="175"/>
      <c r="I17" s="241"/>
      <c r="J17" s="175"/>
      <c r="K17" s="175"/>
      <c r="L17" s="175"/>
    </row>
    <row r="18" spans="3:12" ht="18">
      <c r="C18" s="150"/>
      <c r="D18" s="177"/>
      <c r="E18" s="177"/>
      <c r="F18" s="177"/>
      <c r="G18" s="177"/>
      <c r="H18" s="177"/>
      <c r="I18" s="177"/>
      <c r="J18" s="175"/>
      <c r="K18" s="175"/>
      <c r="L18" s="175"/>
    </row>
    <row r="19" spans="3:12" ht="18.75">
      <c r="C19" s="241"/>
      <c r="D19" s="177"/>
      <c r="E19" s="241"/>
      <c r="F19" s="177"/>
      <c r="G19" s="241"/>
      <c r="H19" s="177"/>
      <c r="I19" s="241"/>
      <c r="J19" s="175"/>
      <c r="K19" s="175"/>
      <c r="L19" s="175"/>
    </row>
    <row r="20" spans="3:12" ht="18">
      <c r="C20" s="177"/>
      <c r="D20" s="177"/>
      <c r="E20" s="177"/>
      <c r="F20" s="177"/>
      <c r="G20" s="177"/>
      <c r="H20" s="177"/>
      <c r="I20" s="177"/>
      <c r="J20" s="175"/>
      <c r="K20" s="175"/>
      <c r="L20" s="175"/>
    </row>
    <row r="21" spans="3:12" ht="18.75">
      <c r="C21" s="241"/>
      <c r="D21" s="177"/>
      <c r="E21" s="241"/>
      <c r="F21" s="177"/>
      <c r="G21" s="241"/>
      <c r="H21" s="177"/>
      <c r="I21" s="241"/>
      <c r="J21" s="175"/>
      <c r="K21" s="175"/>
      <c r="L21" s="175"/>
    </row>
    <row r="22" spans="3:12" ht="18">
      <c r="C22" s="177"/>
      <c r="D22" s="177"/>
      <c r="E22" s="177"/>
      <c r="F22" s="177"/>
      <c r="G22" s="177"/>
      <c r="H22" s="177"/>
      <c r="I22" s="177"/>
      <c r="J22" s="175"/>
      <c r="K22" s="175"/>
      <c r="L22" s="175"/>
    </row>
    <row r="23" spans="3:12" ht="18">
      <c r="C23" s="177"/>
      <c r="D23" s="177"/>
      <c r="E23" s="177"/>
      <c r="F23" s="177"/>
      <c r="G23" s="177"/>
      <c r="H23" s="177"/>
      <c r="I23" s="177"/>
      <c r="J23" s="175"/>
      <c r="K23" s="175"/>
      <c r="L23" s="175"/>
    </row>
    <row r="24" spans="3:12" ht="18">
      <c r="C24" s="177"/>
      <c r="D24" s="177"/>
      <c r="E24" s="177"/>
      <c r="F24" s="177"/>
      <c r="G24" s="177"/>
      <c r="H24" s="177"/>
      <c r="I24" s="177"/>
      <c r="J24" s="175"/>
      <c r="K24" s="175"/>
      <c r="L24" s="175"/>
    </row>
    <row r="25" spans="3:12" ht="18">
      <c r="C25" s="177"/>
      <c r="D25" s="177"/>
      <c r="E25" s="177"/>
      <c r="F25" s="177"/>
      <c r="G25" s="177"/>
      <c r="H25" s="177"/>
      <c r="I25" s="177"/>
      <c r="J25" s="175"/>
      <c r="K25" s="175"/>
      <c r="L25" s="175"/>
    </row>
    <row r="26" spans="3:12" ht="18">
      <c r="C26" s="177"/>
      <c r="D26" s="177"/>
      <c r="E26" s="177"/>
      <c r="F26" s="177"/>
      <c r="G26" s="177"/>
      <c r="H26" s="177"/>
      <c r="I26" s="177"/>
      <c r="J26" s="175"/>
      <c r="K26" s="175"/>
      <c r="L26" s="175"/>
    </row>
    <row r="27" spans="3:12" ht="18">
      <c r="C27" s="175"/>
      <c r="D27" s="175"/>
      <c r="E27" s="175"/>
      <c r="F27" s="175"/>
      <c r="G27" s="175"/>
      <c r="H27" s="175"/>
      <c r="I27" s="175"/>
      <c r="J27" s="175"/>
      <c r="K27" s="175"/>
      <c r="L27" s="175"/>
    </row>
    <row r="28" spans="3:12" ht="18"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  <row r="29" spans="3:12" ht="18"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G7:G8"/>
    <mergeCell ref="E6:G6"/>
    <mergeCell ref="A1:K1"/>
    <mergeCell ref="A2:K2"/>
    <mergeCell ref="A3:K3"/>
    <mergeCell ref="K7:K8"/>
    <mergeCell ref="A4:K4"/>
    <mergeCell ref="I6:K6"/>
    <mergeCell ref="I7:I8"/>
    <mergeCell ref="J7:J8"/>
    <mergeCell ref="A7:A8"/>
    <mergeCell ref="C7:C8"/>
    <mergeCell ref="E7:E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7.85546875" style="91" customWidth="1"/>
    <col min="2" max="2" width="1" style="91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92" bestFit="1" customWidth="1"/>
    <col min="11" max="11" width="17.7109375" style="92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313" t="s">
        <v>87</v>
      </c>
      <c r="B1" s="313"/>
      <c r="C1" s="313"/>
      <c r="D1" s="313"/>
      <c r="E1" s="313"/>
      <c r="F1" s="313"/>
      <c r="G1" s="313"/>
      <c r="H1" s="313"/>
      <c r="I1" s="313"/>
      <c r="J1" s="79"/>
      <c r="K1" s="79"/>
    </row>
    <row r="2" spans="1:14" ht="21">
      <c r="A2" s="313" t="s">
        <v>46</v>
      </c>
      <c r="B2" s="313"/>
      <c r="C2" s="313"/>
      <c r="D2" s="313"/>
      <c r="E2" s="313"/>
      <c r="F2" s="313"/>
      <c r="G2" s="313"/>
      <c r="H2" s="313"/>
      <c r="I2" s="313"/>
      <c r="J2" s="79"/>
      <c r="K2" s="79"/>
    </row>
    <row r="3" spans="1:14" ht="21.75" thickBot="1">
      <c r="A3" s="313" t="str">
        <f>سپرده!A3</f>
        <v>برای ماه منتهی به 1403/06/31</v>
      </c>
      <c r="B3" s="313"/>
      <c r="C3" s="313"/>
      <c r="D3" s="313"/>
      <c r="E3" s="313"/>
      <c r="F3" s="313"/>
      <c r="G3" s="313"/>
      <c r="H3" s="313"/>
      <c r="I3" s="313"/>
      <c r="J3" s="79"/>
      <c r="K3" s="79"/>
    </row>
    <row r="4" spans="1:14" ht="21.75" thickBot="1">
      <c r="A4" s="80" t="s">
        <v>24</v>
      </c>
      <c r="B4" s="81"/>
      <c r="C4" s="81"/>
      <c r="D4" s="81"/>
      <c r="E4" s="81"/>
      <c r="F4" s="81"/>
      <c r="G4" s="81"/>
      <c r="H4" s="81"/>
      <c r="I4" s="81"/>
      <c r="J4" s="82">
        <v>22865156090</v>
      </c>
      <c r="K4" s="83" t="s">
        <v>85</v>
      </c>
    </row>
    <row r="5" spans="1:14" ht="21.75" customHeight="1" thickBot="1">
      <c r="A5" s="80"/>
      <c r="B5" s="80"/>
      <c r="C5" s="80"/>
      <c r="D5" s="80"/>
      <c r="E5" s="312" t="str">
        <f>اوراق!Y6</f>
        <v>1403/06/31</v>
      </c>
      <c r="F5" s="312"/>
      <c r="G5" s="312"/>
      <c r="H5" s="312"/>
      <c r="I5" s="312"/>
      <c r="J5" s="82">
        <v>90940492376</v>
      </c>
      <c r="K5" s="83" t="s">
        <v>84</v>
      </c>
    </row>
    <row r="6" spans="1:14" ht="21.75" customHeight="1" thickBot="1">
      <c r="A6" s="84" t="s">
        <v>33</v>
      </c>
      <c r="B6" s="85"/>
      <c r="C6" s="59" t="s">
        <v>34</v>
      </c>
      <c r="D6" s="86"/>
      <c r="E6" s="59" t="s">
        <v>6</v>
      </c>
      <c r="F6" s="86"/>
      <c r="G6" s="59" t="s">
        <v>16</v>
      </c>
      <c r="H6" s="86"/>
      <c r="I6" s="59" t="s">
        <v>83</v>
      </c>
      <c r="J6" s="87"/>
      <c r="K6" s="87"/>
    </row>
    <row r="7" spans="1:14" ht="21" customHeight="1">
      <c r="A7" s="60" t="s">
        <v>97</v>
      </c>
      <c r="B7" s="60"/>
      <c r="C7" s="88" t="s">
        <v>48</v>
      </c>
      <c r="D7" s="81"/>
      <c r="E7" s="138">
        <f>'درآمد سرمایه گذاری در سهام '!S42</f>
        <v>16853365505</v>
      </c>
      <c r="F7" s="94"/>
      <c r="G7" s="139">
        <f>E7/$E$11</f>
        <v>0.79180634092895441</v>
      </c>
      <c r="H7" s="93"/>
      <c r="I7" s="139">
        <f>E7/$J$5</f>
        <v>0.18532300699801085</v>
      </c>
      <c r="J7" s="87"/>
      <c r="K7" s="87"/>
    </row>
    <row r="8" spans="1:14" ht="18.75" customHeight="1">
      <c r="A8" s="60" t="s">
        <v>43</v>
      </c>
      <c r="B8" s="60"/>
      <c r="C8" s="88" t="s">
        <v>49</v>
      </c>
      <c r="D8" s="81"/>
      <c r="E8" s="138">
        <f>'درآمد سرمایه گذاری در اوراق بها'!Q15</f>
        <v>3839100427</v>
      </c>
      <c r="F8" s="94"/>
      <c r="G8" s="139">
        <f t="shared" ref="G8:G10" si="0">E8/$E$11</f>
        <v>0.18036896314031828</v>
      </c>
      <c r="H8" s="93"/>
      <c r="I8" s="139">
        <f t="shared" ref="I8:I10" si="1">E8/$J$5</f>
        <v>4.2215522774244098E-2</v>
      </c>
      <c r="J8" s="87"/>
      <c r="K8" s="87"/>
      <c r="L8" s="87"/>
      <c r="N8" s="89"/>
    </row>
    <row r="9" spans="1:14" ht="18.75" customHeight="1">
      <c r="A9" s="60" t="s">
        <v>44</v>
      </c>
      <c r="B9" s="60"/>
      <c r="C9" s="88" t="s">
        <v>50</v>
      </c>
      <c r="D9" s="81"/>
      <c r="E9" s="138">
        <f>'درآمد سپرده بانکی'!G11</f>
        <v>557312676</v>
      </c>
      <c r="F9" s="94"/>
      <c r="G9" s="139">
        <f t="shared" si="0"/>
        <v>2.6183714499395706E-2</v>
      </c>
      <c r="H9" s="93"/>
      <c r="I9" s="139">
        <f t="shared" si="1"/>
        <v>6.1283226144823438E-3</v>
      </c>
      <c r="J9" s="87"/>
      <c r="K9" s="87"/>
      <c r="N9" s="89"/>
    </row>
    <row r="10" spans="1:14" ht="19.5" customHeight="1" thickBot="1">
      <c r="A10" s="60" t="s">
        <v>29</v>
      </c>
      <c r="B10" s="60"/>
      <c r="C10" s="88" t="s">
        <v>51</v>
      </c>
      <c r="D10" s="81"/>
      <c r="E10" s="138">
        <f>'سایر درآمدها'!E11</f>
        <v>34927808</v>
      </c>
      <c r="F10" s="94"/>
      <c r="G10" s="139">
        <f t="shared" si="0"/>
        <v>1.6409814313315732E-3</v>
      </c>
      <c r="H10" s="93"/>
      <c r="I10" s="139">
        <f t="shared" si="1"/>
        <v>3.8407322291140089E-4</v>
      </c>
      <c r="J10" s="87"/>
      <c r="K10" s="87"/>
      <c r="N10" s="89"/>
    </row>
    <row r="11" spans="1:14" ht="19.5" customHeight="1" thickBot="1">
      <c r="A11" s="60" t="s">
        <v>2</v>
      </c>
      <c r="B11" s="90"/>
      <c r="C11" s="22"/>
      <c r="D11" s="22"/>
      <c r="E11" s="142">
        <f>SUM(E7:E10)</f>
        <v>21284706416</v>
      </c>
      <c r="F11" s="95"/>
      <c r="G11" s="140">
        <f>SUM(G7:G10)</f>
        <v>1</v>
      </c>
      <c r="H11" s="93"/>
      <c r="I11" s="141">
        <f>SUM(I7:I10)</f>
        <v>0.23405092560964869</v>
      </c>
      <c r="J11" s="87"/>
      <c r="K11" s="87"/>
    </row>
    <row r="12" spans="1:14" ht="18.75" customHeight="1" thickTop="1">
      <c r="J12" s="87"/>
      <c r="K12" s="87"/>
    </row>
    <row r="13" spans="1:14" ht="18" customHeight="1">
      <c r="E13" s="18"/>
      <c r="F13" s="18"/>
      <c r="G13" s="18"/>
      <c r="J13" s="87"/>
      <c r="K13" s="87"/>
    </row>
    <row r="14" spans="1:14" ht="18" customHeight="1">
      <c r="E14" s="18"/>
      <c r="F14" s="18"/>
      <c r="G14" s="18"/>
      <c r="J14" s="87"/>
      <c r="K14" s="87"/>
    </row>
    <row r="15" spans="1:14" ht="18" customHeight="1">
      <c r="E15" s="18"/>
      <c r="F15" s="18"/>
      <c r="G15" s="18"/>
      <c r="J15" s="87"/>
      <c r="K15" s="87"/>
    </row>
    <row r="16" spans="1:14" ht="18" customHeight="1">
      <c r="E16" s="18"/>
      <c r="F16" s="18"/>
      <c r="G16" s="18"/>
      <c r="J16" s="87"/>
      <c r="K16" s="87"/>
    </row>
    <row r="17" spans="1:11" ht="17.45" customHeight="1">
      <c r="E17" s="18"/>
      <c r="F17" s="18"/>
      <c r="G17" s="18"/>
      <c r="J17" s="87"/>
      <c r="K17" s="87"/>
    </row>
    <row r="18" spans="1:11" ht="17.45" customHeight="1">
      <c r="E18" s="18"/>
      <c r="F18" s="18"/>
      <c r="G18" s="18"/>
    </row>
    <row r="19" spans="1:11" ht="17.45" customHeight="1"/>
    <row r="21" spans="1:11">
      <c r="A21" s="91" t="s">
        <v>55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AD52"/>
  <sheetViews>
    <sheetView rightToLeft="1" view="pageBreakPreview" zoomScale="50" zoomScaleNormal="100" zoomScaleSheetLayoutView="50" workbookViewId="0">
      <selection activeCell="W18" sqref="W18"/>
    </sheetView>
  </sheetViews>
  <sheetFormatPr defaultColWidth="9.140625" defaultRowHeight="15"/>
  <cols>
    <col min="1" max="1" width="53.140625" style="185" bestFit="1" customWidth="1"/>
    <col min="2" max="2" width="1.28515625" style="185" customWidth="1"/>
    <col min="3" max="3" width="26.5703125" style="39" customWidth="1"/>
    <col min="4" max="4" width="1" style="185" customWidth="1"/>
    <col min="5" max="5" width="28.42578125" style="40" customWidth="1"/>
    <col min="6" max="6" width="1.42578125" style="40" customWidth="1"/>
    <col min="7" max="7" width="26.5703125" style="40" customWidth="1"/>
    <col min="8" max="8" width="1" style="197" customWidth="1"/>
    <col min="9" max="9" width="28.42578125" style="197" customWidth="1"/>
    <col min="10" max="10" width="2" style="197" customWidth="1"/>
    <col min="11" max="11" width="28.5703125" style="198" customWidth="1"/>
    <col min="12" max="12" width="1.5703125" style="185" customWidth="1"/>
    <col min="13" max="13" width="28.42578125" style="39" bestFit="1" customWidth="1"/>
    <col min="14" max="14" width="0.85546875" style="39" customWidth="1"/>
    <col min="15" max="15" width="28.42578125" style="40" bestFit="1" customWidth="1"/>
    <col min="16" max="16" width="0.85546875" style="40" customWidth="1"/>
    <col min="17" max="17" width="28.42578125" style="40" bestFit="1" customWidth="1"/>
    <col min="18" max="18" width="0.85546875" style="40" customWidth="1"/>
    <col min="19" max="19" width="27.140625" style="40" customWidth="1"/>
    <col min="20" max="20" width="1.42578125" style="40" customWidth="1"/>
    <col min="21" max="21" width="29.85546875" style="198" customWidth="1"/>
    <col min="22" max="22" width="9.140625" style="185"/>
    <col min="23" max="23" width="55.7109375" style="185" bestFit="1" customWidth="1"/>
    <col min="24" max="24" width="21.7109375" style="185" bestFit="1" customWidth="1"/>
    <col min="25" max="25" width="22.140625" style="185" customWidth="1"/>
    <col min="26" max="26" width="54.140625" style="185" bestFit="1" customWidth="1"/>
    <col min="27" max="27" width="21.7109375" style="185" bestFit="1" customWidth="1"/>
    <col min="28" max="28" width="51.85546875" style="185" bestFit="1" customWidth="1"/>
    <col min="29" max="29" width="21.7109375" style="185" bestFit="1" customWidth="1"/>
    <col min="30" max="30" width="18.85546875" style="185" bestFit="1" customWidth="1"/>
    <col min="31" max="16384" width="9.140625" style="185"/>
  </cols>
  <sheetData>
    <row r="1" spans="1:30" ht="27.75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30" ht="27.75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30" ht="27.75">
      <c r="A3" s="314" t="str">
        <f>' سهام'!A3:W3</f>
        <v>برای ماه منتهی به 1403/06/31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5" spans="1:30" s="186" customFormat="1" ht="24.75">
      <c r="A5" s="282" t="s">
        <v>25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</row>
    <row r="6" spans="1:30" s="186" customFormat="1" ht="9.75" customHeight="1">
      <c r="C6" s="32"/>
      <c r="E6" s="35"/>
      <c r="F6" s="35"/>
      <c r="G6" s="35"/>
      <c r="H6" s="187"/>
      <c r="I6" s="187"/>
      <c r="J6" s="187"/>
      <c r="K6" s="188"/>
      <c r="M6" s="32"/>
      <c r="N6" s="32"/>
      <c r="O6" s="35"/>
      <c r="P6" s="35"/>
      <c r="Q6" s="35"/>
      <c r="R6" s="35"/>
      <c r="S6" s="35"/>
      <c r="T6" s="35"/>
      <c r="U6" s="188"/>
    </row>
    <row r="7" spans="1:30" s="186" customFormat="1" ht="27" customHeight="1" thickBot="1">
      <c r="A7" s="189"/>
      <c r="B7" s="190"/>
      <c r="C7" s="314" t="s">
        <v>167</v>
      </c>
      <c r="D7" s="314"/>
      <c r="E7" s="314"/>
      <c r="F7" s="314"/>
      <c r="G7" s="314"/>
      <c r="H7" s="314"/>
      <c r="I7" s="314"/>
      <c r="J7" s="314"/>
      <c r="K7" s="314"/>
      <c r="L7" s="190"/>
      <c r="M7" s="314" t="s">
        <v>168</v>
      </c>
      <c r="N7" s="314"/>
      <c r="O7" s="314"/>
      <c r="P7" s="314"/>
      <c r="Q7" s="314"/>
      <c r="R7" s="314"/>
      <c r="S7" s="314"/>
      <c r="T7" s="314"/>
      <c r="U7" s="314"/>
    </row>
    <row r="8" spans="1:30" s="191" customFormat="1" ht="24.75" customHeight="1">
      <c r="A8" s="329" t="s">
        <v>21</v>
      </c>
      <c r="B8" s="329"/>
      <c r="C8" s="315" t="s">
        <v>9</v>
      </c>
      <c r="D8" s="331"/>
      <c r="E8" s="317" t="s">
        <v>10</v>
      </c>
      <c r="F8" s="324"/>
      <c r="G8" s="317" t="s">
        <v>11</v>
      </c>
      <c r="H8" s="327"/>
      <c r="I8" s="319" t="s">
        <v>2</v>
      </c>
      <c r="J8" s="319"/>
      <c r="K8" s="319"/>
      <c r="L8" s="329"/>
      <c r="M8" s="315" t="s">
        <v>9</v>
      </c>
      <c r="N8" s="321"/>
      <c r="O8" s="317" t="s">
        <v>10</v>
      </c>
      <c r="P8" s="324"/>
      <c r="Q8" s="317" t="s">
        <v>11</v>
      </c>
      <c r="R8" s="324"/>
      <c r="S8" s="319" t="s">
        <v>2</v>
      </c>
      <c r="T8" s="319"/>
      <c r="U8" s="319"/>
    </row>
    <row r="9" spans="1:30" s="191" customFormat="1" ht="6" customHeight="1" thickBot="1">
      <c r="A9" s="329"/>
      <c r="B9" s="329"/>
      <c r="C9" s="316"/>
      <c r="D9" s="329"/>
      <c r="E9" s="318"/>
      <c r="F9" s="325"/>
      <c r="G9" s="318"/>
      <c r="H9" s="328"/>
      <c r="I9" s="320"/>
      <c r="J9" s="320"/>
      <c r="K9" s="320"/>
      <c r="L9" s="329"/>
      <c r="M9" s="316"/>
      <c r="N9" s="322"/>
      <c r="O9" s="318"/>
      <c r="P9" s="325"/>
      <c r="Q9" s="318"/>
      <c r="R9" s="325"/>
      <c r="S9" s="320"/>
      <c r="T9" s="320"/>
      <c r="U9" s="320"/>
    </row>
    <row r="10" spans="1:30" s="191" customFormat="1" ht="42.75" customHeight="1" thickBot="1">
      <c r="A10" s="330"/>
      <c r="B10" s="329"/>
      <c r="C10" s="36" t="s">
        <v>56</v>
      </c>
      <c r="D10" s="329"/>
      <c r="E10" s="37" t="s">
        <v>57</v>
      </c>
      <c r="F10" s="326"/>
      <c r="G10" s="37" t="s">
        <v>58</v>
      </c>
      <c r="H10" s="328"/>
      <c r="I10" s="192" t="s">
        <v>6</v>
      </c>
      <c r="J10" s="192"/>
      <c r="K10" s="193" t="s">
        <v>16</v>
      </c>
      <c r="L10" s="329"/>
      <c r="M10" s="36" t="s">
        <v>56</v>
      </c>
      <c r="N10" s="323"/>
      <c r="O10" s="37" t="s">
        <v>57</v>
      </c>
      <c r="P10" s="326"/>
      <c r="Q10" s="37" t="s">
        <v>58</v>
      </c>
      <c r="R10" s="326"/>
      <c r="S10" s="38" t="s">
        <v>6</v>
      </c>
      <c r="T10" s="38"/>
      <c r="U10" s="193" t="s">
        <v>16</v>
      </c>
    </row>
    <row r="11" spans="1:30" s="143" customFormat="1" ht="30.75">
      <c r="A11" s="194" t="s">
        <v>140</v>
      </c>
      <c r="C11" s="4">
        <f>IFERROR(VLOOKUP(A11,'درآمد سود سهام'!$A$8:$S$108,13,0),0)</f>
        <v>0</v>
      </c>
      <c r="D11" s="4"/>
      <c r="E11" s="4">
        <f>IFERROR(VLOOKUP(A11,'درآمد ناشی از تغییر قیمت  '!$A$7:$Q$107,9,0),0)</f>
        <v>88199563</v>
      </c>
      <c r="F11" s="4"/>
      <c r="G11" s="4">
        <f>IFERROR(VLOOKUP(A11,'درآمد ناشی ازفروش'!$A$7:$I$112,9,0),0)</f>
        <v>0</v>
      </c>
      <c r="H11" s="4"/>
      <c r="I11" s="4">
        <f>G11+E11+C11</f>
        <v>88199563</v>
      </c>
      <c r="K11" s="126">
        <f>I11/3635318920</f>
        <v>2.4261850181771672E-2</v>
      </c>
      <c r="M11" s="4">
        <f>IFERROR(VLOOKUP(A11,'درآمد سود سهام'!$A$8:$S$108,19,0),0)</f>
        <v>140401943</v>
      </c>
      <c r="N11" s="4"/>
      <c r="O11" s="4">
        <f>IFERROR(VLOOKUP(A11,'درآمد ناشی از تغییر قیمت  '!$A$7:$Q$107,17,0),0)</f>
        <v>-147849944</v>
      </c>
      <c r="P11" s="4"/>
      <c r="Q11" s="4">
        <f>IFERROR(VLOOKUP(A11,'درآمد ناشی ازفروش'!$A$7:$Q$112,17,0),0)</f>
        <v>-7143129</v>
      </c>
      <c r="R11" s="4"/>
      <c r="S11" s="4">
        <f>Q11+O11+M11</f>
        <v>-14591130</v>
      </c>
      <c r="T11" s="148"/>
      <c r="U11" s="53">
        <f>S11/درآمدها!$J$4</f>
        <v>-6.3813821968096613E-4</v>
      </c>
      <c r="V11" s="149"/>
      <c r="W11" s="149"/>
      <c r="X11" s="149"/>
      <c r="Y11" s="149"/>
      <c r="Z11" s="149"/>
      <c r="AA11" s="149"/>
      <c r="AB11" s="149"/>
      <c r="AC11" s="149"/>
      <c r="AD11" s="149"/>
    </row>
    <row r="12" spans="1:30" s="143" customFormat="1" ht="30.75">
      <c r="A12" s="194" t="s">
        <v>89</v>
      </c>
      <c r="C12" s="4">
        <f>IFERROR(VLOOKUP(A12,'درآمد سود سهام'!$A$8:$S$108,13,0),0)</f>
        <v>0</v>
      </c>
      <c r="D12" s="4"/>
      <c r="E12" s="4">
        <f>IFERROR(VLOOKUP(A12,'درآمد ناشی از تغییر قیمت  '!$A$7:$Q$107,9,0),0)</f>
        <v>0</v>
      </c>
      <c r="F12" s="4"/>
      <c r="G12" s="4">
        <f>IFERROR(VLOOKUP(A12,'درآمد ناشی ازفروش'!$A$7:$I$112,9,0),0)</f>
        <v>0</v>
      </c>
      <c r="H12" s="4"/>
      <c r="I12" s="4">
        <f t="shared" ref="I12:I41" si="0">G12+E12+C12</f>
        <v>0</v>
      </c>
      <c r="K12" s="126">
        <f t="shared" ref="K12:K41" si="1">I12/3635318920</f>
        <v>0</v>
      </c>
      <c r="M12" s="4">
        <f>IFERROR(VLOOKUP(A12,'درآمد سود سهام'!$A$8:$S$108,19,0),0)</f>
        <v>0</v>
      </c>
      <c r="N12" s="4"/>
      <c r="O12" s="4">
        <f>IFERROR(VLOOKUP(A12,'درآمد ناشی از تغییر قیمت  '!$A$7:$Q$107,17,0),0)</f>
        <v>0</v>
      </c>
      <c r="P12" s="4"/>
      <c r="Q12" s="4">
        <f>IFERROR(VLOOKUP(A12,'درآمد ناشی ازفروش'!$A$7:$Q$112,17,0),0)</f>
        <v>1167277212</v>
      </c>
      <c r="R12" s="4"/>
      <c r="S12" s="4">
        <f t="shared" ref="S12:S41" si="2">Q12+O12+M12</f>
        <v>1167277212</v>
      </c>
      <c r="T12" s="148"/>
      <c r="U12" s="53">
        <f>S12/درآمدها!$J$4</f>
        <v>5.1050480801681682E-2</v>
      </c>
      <c r="V12" s="149"/>
      <c r="W12" s="149"/>
      <c r="X12" s="149"/>
      <c r="Y12" s="149"/>
      <c r="Z12" s="149"/>
      <c r="AA12" s="149"/>
      <c r="AB12" s="149"/>
      <c r="AC12" s="149"/>
      <c r="AD12" s="149"/>
    </row>
    <row r="13" spans="1:30" s="143" customFormat="1" ht="30.75">
      <c r="A13" s="194" t="s">
        <v>123</v>
      </c>
      <c r="C13" s="4">
        <f>IFERROR(VLOOKUP(A13,'درآمد سود سهام'!$A$8:$S$108,13,0),0)</f>
        <v>0</v>
      </c>
      <c r="D13" s="4"/>
      <c r="E13" s="4">
        <f>IFERROR(VLOOKUP(A13,'درآمد ناشی از تغییر قیمت  '!$A$7:$Q$107,9,0),0)</f>
        <v>33539961</v>
      </c>
      <c r="F13" s="4"/>
      <c r="G13" s="4">
        <f>IFERROR(VLOOKUP(A13,'درآمد ناشی ازفروش'!$A$7:$I$112,9,0),0)</f>
        <v>0</v>
      </c>
      <c r="H13" s="4"/>
      <c r="I13" s="4">
        <f t="shared" si="0"/>
        <v>33539961</v>
      </c>
      <c r="K13" s="126">
        <f t="shared" si="1"/>
        <v>9.2261399173198255E-3</v>
      </c>
      <c r="M13" s="4">
        <f>IFERROR(VLOOKUP(A13,'درآمد سود سهام'!$A$8:$S$108,19,0),0)</f>
        <v>120039100</v>
      </c>
      <c r="N13" s="4"/>
      <c r="O13" s="4">
        <f>IFERROR(VLOOKUP(A13,'درآمد ناشی از تغییر قیمت  '!$A$7:$Q$107,17,0),0)</f>
        <v>396367435</v>
      </c>
      <c r="P13" s="4"/>
      <c r="Q13" s="4">
        <f>IFERROR(VLOOKUP(A13,'درآمد ناشی ازفروش'!$A$7:$Q$112,17,0),0)</f>
        <v>30407738</v>
      </c>
      <c r="R13" s="4"/>
      <c r="S13" s="4">
        <f t="shared" si="2"/>
        <v>546814273</v>
      </c>
      <c r="T13" s="148"/>
      <c r="U13" s="53">
        <f>S13/درآمدها!$J$4</f>
        <v>2.3914740439456149E-2</v>
      </c>
      <c r="V13" s="149"/>
      <c r="W13" s="149"/>
      <c r="X13" s="149"/>
      <c r="Y13" s="149"/>
      <c r="Z13" s="149"/>
      <c r="AA13" s="149"/>
      <c r="AB13" s="149"/>
      <c r="AC13" s="149"/>
      <c r="AD13" s="149"/>
    </row>
    <row r="14" spans="1:30" s="143" customFormat="1" ht="30.75">
      <c r="A14" s="194" t="s">
        <v>99</v>
      </c>
      <c r="C14" s="4">
        <f>IFERROR(VLOOKUP(A14,'درآمد سود سهام'!$A$8:$S$108,13,0),0)</f>
        <v>0</v>
      </c>
      <c r="D14" s="4"/>
      <c r="E14" s="4">
        <f>IFERROR(VLOOKUP(A14,'درآمد ناشی از تغییر قیمت  '!$A$7:$Q$107,9,0),0)</f>
        <v>-405090788</v>
      </c>
      <c r="F14" s="4"/>
      <c r="G14" s="4">
        <f>IFERROR(VLOOKUP(A14,'درآمد ناشی ازفروش'!$A$7:$I$112,9,0),0)</f>
        <v>460364742</v>
      </c>
      <c r="H14" s="4"/>
      <c r="I14" s="4">
        <f t="shared" si="0"/>
        <v>55273954</v>
      </c>
      <c r="K14" s="126">
        <f t="shared" si="1"/>
        <v>1.5204705616309449E-2</v>
      </c>
      <c r="M14" s="4">
        <f>IFERROR(VLOOKUP(A14,'درآمد سود سهام'!$A$8:$S$108,19,0),0)</f>
        <v>245526400</v>
      </c>
      <c r="N14" s="4"/>
      <c r="O14" s="4">
        <f>IFERROR(VLOOKUP(A14,'درآمد ناشی از تغییر قیمت  '!$A$7:$Q$107,17,0),0)</f>
        <v>5289364</v>
      </c>
      <c r="P14" s="4"/>
      <c r="Q14" s="4">
        <f>IFERROR(VLOOKUP(A14,'درآمد ناشی ازفروش'!$A$7:$Q$112,17,0),0)</f>
        <v>541095801</v>
      </c>
      <c r="R14" s="4"/>
      <c r="S14" s="4">
        <f t="shared" si="2"/>
        <v>791911565</v>
      </c>
      <c r="T14" s="148"/>
      <c r="U14" s="53">
        <f>S14/درآمدها!$J$4</f>
        <v>3.4633989021677393E-2</v>
      </c>
      <c r="V14" s="149"/>
      <c r="W14" s="149"/>
      <c r="X14" s="149"/>
      <c r="Y14" s="149"/>
      <c r="Z14" s="149"/>
      <c r="AA14" s="149"/>
      <c r="AB14" s="149"/>
      <c r="AC14" s="149"/>
      <c r="AD14" s="149"/>
    </row>
    <row r="15" spans="1:30" s="143" customFormat="1" ht="30.75">
      <c r="A15" s="194" t="s">
        <v>170</v>
      </c>
      <c r="C15" s="4">
        <f>IFERROR(VLOOKUP(A15,'درآمد سود سهام'!$A$8:$S$108,13,0),0)</f>
        <v>0</v>
      </c>
      <c r="D15" s="4"/>
      <c r="E15" s="4">
        <f>IFERROR(VLOOKUP(A15,'درآمد ناشی از تغییر قیمت  '!$A$7:$Q$107,9,0),0)</f>
        <v>37097080</v>
      </c>
      <c r="F15" s="4"/>
      <c r="G15" s="4">
        <f>IFERROR(VLOOKUP(A15,'درآمد ناشی ازفروش'!$A$7:$I$112,9,0),0)</f>
        <v>0</v>
      </c>
      <c r="H15" s="4"/>
      <c r="I15" s="4">
        <f t="shared" si="0"/>
        <v>37097080</v>
      </c>
      <c r="K15" s="126">
        <f t="shared" si="1"/>
        <v>1.020462875922864E-2</v>
      </c>
      <c r="M15" s="4">
        <f>IFERROR(VLOOKUP(A15,'درآمد سود سهام'!$A$8:$S$108,19,0),0)</f>
        <v>0</v>
      </c>
      <c r="N15" s="4"/>
      <c r="O15" s="4">
        <f>IFERROR(VLOOKUP(A15,'درآمد ناشی از تغییر قیمت  '!$A$7:$Q$107,17,0),0)</f>
        <v>37097080</v>
      </c>
      <c r="P15" s="4"/>
      <c r="Q15" s="4">
        <f>IFERROR(VLOOKUP(A15,'درآمد ناشی ازفروش'!$A$7:$Q$112,17,0),0)</f>
        <v>0</v>
      </c>
      <c r="R15" s="4"/>
      <c r="S15" s="4">
        <f t="shared" si="2"/>
        <v>37097080</v>
      </c>
      <c r="T15" s="148"/>
      <c r="U15" s="53">
        <f>S15/درآمدها!$J$4</f>
        <v>1.622428460754059E-3</v>
      </c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0" s="143" customFormat="1" ht="30.75">
      <c r="A16" s="194" t="s">
        <v>169</v>
      </c>
      <c r="C16" s="4">
        <f>IFERROR(VLOOKUP(A16,'درآمد سود سهام'!$A$8:$S$108,13,0),0)</f>
        <v>0</v>
      </c>
      <c r="D16" s="4"/>
      <c r="E16" s="4">
        <f>IFERROR(VLOOKUP(A16,'درآمد ناشی از تغییر قیمت  '!$A$7:$Q$107,9,0),0)</f>
        <v>62157604</v>
      </c>
      <c r="F16" s="4"/>
      <c r="G16" s="4">
        <f>IFERROR(VLOOKUP(A16,'درآمد ناشی ازفروش'!$A$7:$I$112,9,0),0)</f>
        <v>0</v>
      </c>
      <c r="H16" s="4"/>
      <c r="I16" s="4">
        <f t="shared" si="0"/>
        <v>62157604</v>
      </c>
      <c r="K16" s="126">
        <f t="shared" si="1"/>
        <v>1.7098253376900425E-2</v>
      </c>
      <c r="M16" s="4">
        <f>IFERROR(VLOOKUP(A16,'درآمد سود سهام'!$A$8:$S$108,19,0),0)</f>
        <v>0</v>
      </c>
      <c r="N16" s="4"/>
      <c r="O16" s="4">
        <f>IFERROR(VLOOKUP(A16,'درآمد ناشی از تغییر قیمت  '!$A$7:$Q$107,17,0),0)</f>
        <v>62157604</v>
      </c>
      <c r="P16" s="4"/>
      <c r="Q16" s="4">
        <f>IFERROR(VLOOKUP(A16,'درآمد ناشی ازفروش'!$A$7:$Q$112,17,0),0)</f>
        <v>0</v>
      </c>
      <c r="R16" s="4"/>
      <c r="S16" s="4">
        <f t="shared" si="2"/>
        <v>62157604</v>
      </c>
      <c r="T16" s="148"/>
      <c r="U16" s="53">
        <f>S16/درآمدها!$J$4</f>
        <v>2.7184421464406458E-3</v>
      </c>
      <c r="V16" s="149"/>
      <c r="W16" s="149"/>
      <c r="X16" s="149"/>
      <c r="Y16" s="149"/>
      <c r="Z16" s="149"/>
      <c r="AA16" s="149"/>
      <c r="AB16" s="149"/>
      <c r="AC16" s="149"/>
      <c r="AD16" s="149"/>
    </row>
    <row r="17" spans="1:30" s="143" customFormat="1" ht="30.75">
      <c r="A17" s="194" t="s">
        <v>105</v>
      </c>
      <c r="C17" s="4">
        <f>IFERROR(VLOOKUP(A17,'درآمد سود سهام'!$A$8:$S$108,13,0),0)</f>
        <v>0</v>
      </c>
      <c r="D17" s="4"/>
      <c r="E17" s="4">
        <f>IFERROR(VLOOKUP(A17,'درآمد ناشی از تغییر قیمت  '!$A$7:$Q$107,9,0),0)</f>
        <v>51088066</v>
      </c>
      <c r="F17" s="4"/>
      <c r="G17" s="4">
        <f>IFERROR(VLOOKUP(A17,'درآمد ناشی ازفروش'!$A$7:$I$112,9,0),0)</f>
        <v>0</v>
      </c>
      <c r="H17" s="4"/>
      <c r="I17" s="4">
        <f t="shared" si="0"/>
        <v>51088066</v>
      </c>
      <c r="K17" s="126">
        <f t="shared" si="1"/>
        <v>1.4053255608176463E-2</v>
      </c>
      <c r="M17" s="4">
        <f>IFERROR(VLOOKUP(A17,'درآمد سود سهام'!$A$8:$S$108,19,0),0)</f>
        <v>161146120</v>
      </c>
      <c r="N17" s="4"/>
      <c r="O17" s="4">
        <f>IFERROR(VLOOKUP(A17,'درآمد ناشی از تغییر قیمت  '!$A$7:$Q$107,17,0),0)</f>
        <v>126402021</v>
      </c>
      <c r="P17" s="4"/>
      <c r="Q17" s="4">
        <f>IFERROR(VLOOKUP(A17,'درآمد ناشی ازفروش'!$A$7:$Q$112,17,0),0)</f>
        <v>64409397</v>
      </c>
      <c r="R17" s="4"/>
      <c r="S17" s="4">
        <f t="shared" si="2"/>
        <v>351957538</v>
      </c>
      <c r="T17" s="148"/>
      <c r="U17" s="53">
        <f>S17/درآمدها!$J$4</f>
        <v>1.5392745914991915E-2</v>
      </c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3" customFormat="1" ht="30.75">
      <c r="A18" s="194" t="s">
        <v>107</v>
      </c>
      <c r="C18" s="4">
        <f>IFERROR(VLOOKUP(A18,'درآمد سود سهام'!$A$8:$S$108,13,0),0)</f>
        <v>0</v>
      </c>
      <c r="D18" s="4"/>
      <c r="E18" s="4">
        <f>IFERROR(VLOOKUP(A18,'درآمد ناشی از تغییر قیمت  '!$A$7:$Q$107,9,0),0)</f>
        <v>0</v>
      </c>
      <c r="F18" s="4"/>
      <c r="G18" s="4">
        <f>IFERROR(VLOOKUP(A18,'درآمد ناشی ازفروش'!$A$7:$I$112,9,0),0)</f>
        <v>0</v>
      </c>
      <c r="H18" s="4"/>
      <c r="I18" s="4">
        <f t="shared" si="0"/>
        <v>0</v>
      </c>
      <c r="K18" s="126">
        <f t="shared" si="1"/>
        <v>0</v>
      </c>
      <c r="M18" s="4">
        <f>IFERROR(VLOOKUP(A18,'درآمد سود سهام'!$A$8:$S$108,19,0),0)</f>
        <v>0</v>
      </c>
      <c r="N18" s="4"/>
      <c r="O18" s="4">
        <f>IFERROR(VLOOKUP(A18,'درآمد ناشی از تغییر قیمت  '!$A$7:$Q$107,17,0),0)</f>
        <v>0</v>
      </c>
      <c r="P18" s="4"/>
      <c r="Q18" s="4">
        <f>IFERROR(VLOOKUP(A18,'درآمد ناشی ازفروش'!$A$7:$Q$112,17,0),0)</f>
        <v>607602345</v>
      </c>
      <c r="R18" s="4"/>
      <c r="S18" s="4">
        <f t="shared" si="2"/>
        <v>607602345</v>
      </c>
      <c r="T18" s="148"/>
      <c r="U18" s="53">
        <f>S18/درآمدها!$J$4</f>
        <v>2.6573286559182199E-2</v>
      </c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3" customFormat="1" ht="30.75">
      <c r="A19" s="194" t="s">
        <v>92</v>
      </c>
      <c r="C19" s="4">
        <f>IFERROR(VLOOKUP(A19,'درآمد سود سهام'!$A$8:$S$108,13,0),0)</f>
        <v>0</v>
      </c>
      <c r="D19" s="4"/>
      <c r="E19" s="4">
        <f>IFERROR(VLOOKUP(A19,'درآمد ناشی از تغییر قیمت  '!$A$7:$Q$107,9,0),0)</f>
        <v>8425887</v>
      </c>
      <c r="F19" s="4"/>
      <c r="G19" s="4">
        <f>IFERROR(VLOOKUP(A19,'درآمد ناشی ازفروش'!$A$7:$I$112,9,0),0)</f>
        <v>-3076839</v>
      </c>
      <c r="H19" s="4"/>
      <c r="I19" s="4">
        <f t="shared" si="0"/>
        <v>5349048</v>
      </c>
      <c r="K19" s="126">
        <f t="shared" si="1"/>
        <v>1.4714109319465154E-3</v>
      </c>
      <c r="M19" s="4">
        <f>IFERROR(VLOOKUP(A19,'درآمد سود سهام'!$A$8:$S$108,19,0),0)</f>
        <v>355087340</v>
      </c>
      <c r="N19" s="4"/>
      <c r="O19" s="4">
        <f>IFERROR(VLOOKUP(A19,'درآمد ناشی از تغییر قیمت  '!$A$7:$Q$107,17,0),0)</f>
        <v>0</v>
      </c>
      <c r="P19" s="4"/>
      <c r="Q19" s="4">
        <f>IFERROR(VLOOKUP(A19,'درآمد ناشی ازفروش'!$A$7:$Q$112,17,0),0)</f>
        <v>488085302</v>
      </c>
      <c r="R19" s="4"/>
      <c r="S19" s="4">
        <f t="shared" si="2"/>
        <v>843172642</v>
      </c>
      <c r="T19" s="148"/>
      <c r="U19" s="53">
        <f>S19/درآمدها!$J$4</f>
        <v>3.6875875182359186E-2</v>
      </c>
      <c r="V19" s="149"/>
      <c r="W19" s="149"/>
      <c r="X19" s="149"/>
      <c r="Y19" s="149"/>
      <c r="Z19" s="149"/>
      <c r="AA19" s="149"/>
      <c r="AB19" s="149"/>
      <c r="AC19" s="149"/>
      <c r="AD19" s="149"/>
    </row>
    <row r="20" spans="1:30" s="143" customFormat="1" ht="30.75">
      <c r="A20" s="194" t="s">
        <v>91</v>
      </c>
      <c r="C20" s="4">
        <f>IFERROR(VLOOKUP(A20,'درآمد سود سهام'!$A$8:$S$108,13,0),0)</f>
        <v>0</v>
      </c>
      <c r="D20" s="4"/>
      <c r="E20" s="4">
        <f>IFERROR(VLOOKUP(A20,'درآمد ناشی از تغییر قیمت  '!$A$7:$Q$107,9,0),0)</f>
        <v>4140297</v>
      </c>
      <c r="F20" s="4"/>
      <c r="G20" s="4">
        <f>IFERROR(VLOOKUP(A20,'درآمد ناشی ازفروش'!$A$7:$I$112,9,0),0)</f>
        <v>0</v>
      </c>
      <c r="H20" s="4"/>
      <c r="I20" s="4">
        <f t="shared" si="0"/>
        <v>4140297</v>
      </c>
      <c r="K20" s="126">
        <f t="shared" si="1"/>
        <v>1.1389088801045273E-3</v>
      </c>
      <c r="M20" s="4">
        <f>IFERROR(VLOOKUP(A20,'درآمد سود سهام'!$A$8:$S$108,19,0),0)</f>
        <v>608101680</v>
      </c>
      <c r="N20" s="4"/>
      <c r="O20" s="4">
        <f>IFERROR(VLOOKUP(A20,'درآمد ناشی از تغییر قیمت  '!$A$7:$Q$107,17,0),0)</f>
        <v>-64065942</v>
      </c>
      <c r="P20" s="4"/>
      <c r="Q20" s="4">
        <f>IFERROR(VLOOKUP(A20,'درآمد ناشی ازفروش'!$A$7:$Q$112,17,0),0)</f>
        <v>404521089</v>
      </c>
      <c r="R20" s="4"/>
      <c r="S20" s="4">
        <f t="shared" si="2"/>
        <v>948556827</v>
      </c>
      <c r="T20" s="148"/>
      <c r="U20" s="53">
        <f>S20/درآمدها!$J$4</f>
        <v>4.1484817478016175E-2</v>
      </c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3" customFormat="1" ht="30.75">
      <c r="A21" s="194" t="s">
        <v>93</v>
      </c>
      <c r="C21" s="4">
        <f>IFERROR(VLOOKUP(A21,'درآمد سود سهام'!$A$8:$S$108,13,0),0)</f>
        <v>0</v>
      </c>
      <c r="D21" s="4"/>
      <c r="E21" s="4">
        <f>IFERROR(VLOOKUP(A21,'درآمد ناشی از تغییر قیمت  '!$A$7:$Q$107,9,0),0)</f>
        <v>395556912</v>
      </c>
      <c r="F21" s="4"/>
      <c r="G21" s="4">
        <f>IFERROR(VLOOKUP(A21,'درآمد ناشی ازفروش'!$A$7:$I$112,9,0),0)</f>
        <v>0</v>
      </c>
      <c r="H21" s="4"/>
      <c r="I21" s="4">
        <f t="shared" si="0"/>
        <v>395556912</v>
      </c>
      <c r="K21" s="126">
        <f t="shared" si="1"/>
        <v>0.10880941141747201</v>
      </c>
      <c r="M21" s="4">
        <f>IFERROR(VLOOKUP(A21,'درآمد سود سهام'!$A$8:$S$108,19,0),0)</f>
        <v>0</v>
      </c>
      <c r="N21" s="4"/>
      <c r="O21" s="4">
        <f>IFERROR(VLOOKUP(A21,'درآمد ناشی از تغییر قیمت  '!$A$7:$Q$107,17,0),0)</f>
        <v>-443189489</v>
      </c>
      <c r="P21" s="4"/>
      <c r="Q21" s="4">
        <f>IFERROR(VLOOKUP(A21,'درآمد ناشی ازفروش'!$A$7:$Q$112,17,0),0)</f>
        <v>-541526702</v>
      </c>
      <c r="R21" s="4"/>
      <c r="S21" s="4">
        <f t="shared" si="2"/>
        <v>-984716191</v>
      </c>
      <c r="T21" s="148"/>
      <c r="U21" s="53">
        <f>S21/درآمدها!$J$4</f>
        <v>-4.3066235241256995E-2</v>
      </c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3" customFormat="1" ht="30.75">
      <c r="A22" s="194" t="s">
        <v>102</v>
      </c>
      <c r="C22" s="4">
        <f>IFERROR(VLOOKUP(A22,'درآمد سود سهام'!$A$8:$S$108,13,0),0)</f>
        <v>0</v>
      </c>
      <c r="D22" s="4"/>
      <c r="E22" s="4">
        <f>IFERROR(VLOOKUP(A22,'درآمد ناشی از تغییر قیمت  '!$A$7:$Q$107,9,0),0)</f>
        <v>113774588</v>
      </c>
      <c r="F22" s="4"/>
      <c r="G22" s="4">
        <f>IFERROR(VLOOKUP(A22,'درآمد ناشی ازفروش'!$A$7:$I$112,9,0),0)</f>
        <v>0</v>
      </c>
      <c r="H22" s="4"/>
      <c r="I22" s="4">
        <f t="shared" si="0"/>
        <v>113774588</v>
      </c>
      <c r="K22" s="126">
        <f t="shared" si="1"/>
        <v>3.1297003235138447E-2</v>
      </c>
      <c r="M22" s="4">
        <f>IFERROR(VLOOKUP(A22,'درآمد سود سهام'!$A$8:$S$108,19,0),0)</f>
        <v>166369390</v>
      </c>
      <c r="N22" s="4"/>
      <c r="O22" s="4">
        <f>IFERROR(VLOOKUP(A22,'درآمد ناشی از تغییر قیمت  '!$A$7:$Q$107,17,0),0)</f>
        <v>251722132</v>
      </c>
      <c r="P22" s="4"/>
      <c r="Q22" s="4">
        <f>IFERROR(VLOOKUP(A22,'درآمد ناشی ازفروش'!$A$7:$Q$112,17,0),0)</f>
        <v>275624711</v>
      </c>
      <c r="R22" s="4"/>
      <c r="S22" s="4">
        <f t="shared" si="2"/>
        <v>693716233</v>
      </c>
      <c r="T22" s="148"/>
      <c r="U22" s="53">
        <f>S22/درآمدها!$J$4</f>
        <v>3.0339448822017643E-2</v>
      </c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s="143" customFormat="1" ht="30.75">
      <c r="A23" s="194" t="s">
        <v>94</v>
      </c>
      <c r="C23" s="4">
        <f>IFERROR(VLOOKUP(A23,'درآمد سود سهام'!$A$8:$S$108,13,0),0)</f>
        <v>0</v>
      </c>
      <c r="D23" s="4"/>
      <c r="E23" s="4">
        <f>IFERROR(VLOOKUP(A23,'درآمد ناشی از تغییر قیمت  '!$A$7:$Q$107,9,0),0)</f>
        <v>91184600</v>
      </c>
      <c r="F23" s="4"/>
      <c r="G23" s="4">
        <f>IFERROR(VLOOKUP(A23,'درآمد ناشی ازفروش'!$A$7:$I$112,9,0),0)</f>
        <v>-481470095</v>
      </c>
      <c r="H23" s="4"/>
      <c r="I23" s="4">
        <f t="shared" si="0"/>
        <v>-390285495</v>
      </c>
      <c r="K23" s="126">
        <f t="shared" si="1"/>
        <v>-0.10735935514565528</v>
      </c>
      <c r="M23" s="4">
        <f>IFERROR(VLOOKUP(A23,'درآمد سود سهام'!$A$8:$S$108,19,0),0)</f>
        <v>1948</v>
      </c>
      <c r="N23" s="4"/>
      <c r="O23" s="4">
        <f>IFERROR(VLOOKUP(A23,'درآمد ناشی از تغییر قیمت  '!$A$7:$Q$107,17,0),0)</f>
        <v>-975258887</v>
      </c>
      <c r="P23" s="4"/>
      <c r="Q23" s="4">
        <f>IFERROR(VLOOKUP(A23,'درآمد ناشی ازفروش'!$A$7:$Q$112,17,0),0)</f>
        <v>224843901</v>
      </c>
      <c r="R23" s="4"/>
      <c r="S23" s="4">
        <f t="shared" si="2"/>
        <v>-750413038</v>
      </c>
      <c r="T23" s="148"/>
      <c r="U23" s="53">
        <f>S23/درآمدها!$J$4</f>
        <v>-3.2819064739653826E-2</v>
      </c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3" customFormat="1" ht="30.75">
      <c r="A24" s="194" t="s">
        <v>104</v>
      </c>
      <c r="C24" s="4">
        <f>IFERROR(VLOOKUP(A24,'درآمد سود سهام'!$A$8:$S$108,13,0),0)</f>
        <v>0</v>
      </c>
      <c r="D24" s="4"/>
      <c r="E24" s="4">
        <f>IFERROR(VLOOKUP(A24,'درآمد ناشی از تغییر قیمت  '!$A$7:$Q$107,9,0),0)</f>
        <v>0</v>
      </c>
      <c r="F24" s="4"/>
      <c r="G24" s="4">
        <f>IFERROR(VLOOKUP(A24,'درآمد ناشی ازفروش'!$A$7:$I$112,9,0),0)</f>
        <v>0</v>
      </c>
      <c r="H24" s="4"/>
      <c r="I24" s="4">
        <f t="shared" si="0"/>
        <v>0</v>
      </c>
      <c r="K24" s="126">
        <f t="shared" si="1"/>
        <v>0</v>
      </c>
      <c r="M24" s="4">
        <f>IFERROR(VLOOKUP(A24,'درآمد سود سهام'!$A$8:$S$108,19,0),0)</f>
        <v>0</v>
      </c>
      <c r="N24" s="4"/>
      <c r="O24" s="4">
        <f>IFERROR(VLOOKUP(A24,'درآمد ناشی از تغییر قیمت  '!$A$7:$Q$107,17,0),0)</f>
        <v>0</v>
      </c>
      <c r="P24" s="4"/>
      <c r="Q24" s="4">
        <f>IFERROR(VLOOKUP(A24,'درآمد ناشی ازفروش'!$A$7:$Q$112,17,0),0)</f>
        <v>94815083</v>
      </c>
      <c r="R24" s="4"/>
      <c r="S24" s="4">
        <f t="shared" si="2"/>
        <v>94815083</v>
      </c>
      <c r="T24" s="148"/>
      <c r="U24" s="53">
        <f>S24/درآمدها!$J$4</f>
        <v>4.1467061334196208E-3</v>
      </c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s="143" customFormat="1" ht="30.75">
      <c r="A25" s="194" t="s">
        <v>90</v>
      </c>
      <c r="C25" s="4">
        <f>IFERROR(VLOOKUP(A25,'درآمد سود سهام'!$A$8:$S$108,13,0),0)</f>
        <v>0</v>
      </c>
      <c r="D25" s="4"/>
      <c r="E25" s="4">
        <f>IFERROR(VLOOKUP(A25,'درآمد ناشی از تغییر قیمت  '!$A$7:$Q$107,9,0),0)</f>
        <v>465257799</v>
      </c>
      <c r="F25" s="4"/>
      <c r="G25" s="4">
        <f>IFERROR(VLOOKUP(A25,'درآمد ناشی ازفروش'!$A$7:$I$112,9,0),0)</f>
        <v>0</v>
      </c>
      <c r="H25" s="4"/>
      <c r="I25" s="4">
        <f t="shared" si="0"/>
        <v>465257799</v>
      </c>
      <c r="K25" s="126">
        <f t="shared" si="1"/>
        <v>0.12798266376035036</v>
      </c>
      <c r="M25" s="4">
        <f>IFERROR(VLOOKUP(A25,'درآمد سود سهام'!$A$8:$S$108,19,0),0)</f>
        <v>360464000</v>
      </c>
      <c r="N25" s="4"/>
      <c r="O25" s="4">
        <f>IFERROR(VLOOKUP(A25,'درآمد ناشی از تغییر قیمت  '!$A$7:$Q$107,17,0),0)</f>
        <v>99143051</v>
      </c>
      <c r="P25" s="4"/>
      <c r="Q25" s="4">
        <f>IFERROR(VLOOKUP(A25,'درآمد ناشی ازفروش'!$A$7:$Q$112,17,0),0)</f>
        <v>-200000198</v>
      </c>
      <c r="R25" s="4"/>
      <c r="S25" s="4">
        <f t="shared" si="2"/>
        <v>259606853</v>
      </c>
      <c r="T25" s="148"/>
      <c r="U25" s="53">
        <f>S25/درآمدها!$J$4</f>
        <v>1.1353819408805095E-2</v>
      </c>
      <c r="V25" s="149"/>
      <c r="W25" s="149"/>
      <c r="X25" s="149"/>
      <c r="Y25" s="149"/>
      <c r="Z25" s="149"/>
      <c r="AA25" s="149"/>
      <c r="AB25" s="149"/>
      <c r="AC25" s="149"/>
      <c r="AD25" s="149"/>
    </row>
    <row r="26" spans="1:30" s="143" customFormat="1" ht="30.75">
      <c r="A26" s="194" t="s">
        <v>88</v>
      </c>
      <c r="C26" s="4">
        <f>IFERROR(VLOOKUP(A26,'درآمد سود سهام'!$A$8:$S$108,13,0),0)</f>
        <v>0</v>
      </c>
      <c r="D26" s="4"/>
      <c r="E26" s="4">
        <f>IFERROR(VLOOKUP(A26,'درآمد ناشی از تغییر قیمت  '!$A$7:$Q$107,9,0),0)</f>
        <v>-44160752</v>
      </c>
      <c r="F26" s="4"/>
      <c r="G26" s="4">
        <f>IFERROR(VLOOKUP(A26,'درآمد ناشی ازفروش'!$A$7:$I$112,9,0),0)</f>
        <v>0</v>
      </c>
      <c r="H26" s="4"/>
      <c r="I26" s="4">
        <f t="shared" si="0"/>
        <v>-44160752</v>
      </c>
      <c r="K26" s="126">
        <f t="shared" si="1"/>
        <v>-1.2147696796846644E-2</v>
      </c>
      <c r="M26" s="4">
        <f>IFERROR(VLOOKUP(A26,'درآمد سود سهام'!$A$8:$S$108,19,0),0)</f>
        <v>258617430</v>
      </c>
      <c r="N26" s="4"/>
      <c r="O26" s="4">
        <f>IFERROR(VLOOKUP(A26,'درآمد ناشی از تغییر قیمت  '!$A$7:$Q$107,17,0),0)</f>
        <v>-813150182</v>
      </c>
      <c r="P26" s="4"/>
      <c r="Q26" s="4">
        <f>IFERROR(VLOOKUP(A26,'درآمد ناشی ازفروش'!$A$7:$Q$112,17,0),0)</f>
        <v>872156694</v>
      </c>
      <c r="R26" s="4"/>
      <c r="S26" s="4">
        <f t="shared" si="2"/>
        <v>317623942</v>
      </c>
      <c r="T26" s="148"/>
      <c r="U26" s="53">
        <f>S26/درآمدها!$J$4</f>
        <v>1.3891177508248535E-2</v>
      </c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s="143" customFormat="1" ht="30.75">
      <c r="A27" s="194" t="s">
        <v>121</v>
      </c>
      <c r="C27" s="4">
        <f>IFERROR(VLOOKUP(A27,'درآمد سود سهام'!$A$8:$S$108,13,0),0)</f>
        <v>0</v>
      </c>
      <c r="D27" s="4"/>
      <c r="E27" s="4">
        <f>IFERROR(VLOOKUP(A27,'درآمد ناشی از تغییر قیمت  '!$A$7:$Q$107,9,0),0)</f>
        <v>222926806</v>
      </c>
      <c r="F27" s="4"/>
      <c r="G27" s="4">
        <f>IFERROR(VLOOKUP(A27,'درآمد ناشی ازفروش'!$A$7:$I$112,9,0),0)</f>
        <v>-72879152</v>
      </c>
      <c r="H27" s="4"/>
      <c r="I27" s="4">
        <f t="shared" si="0"/>
        <v>150047654</v>
      </c>
      <c r="K27" s="126">
        <f t="shared" si="1"/>
        <v>4.1274963023051635E-2</v>
      </c>
      <c r="M27" s="4">
        <f>IFERROR(VLOOKUP(A27,'درآمد سود سهام'!$A$8:$S$108,19,0),0)</f>
        <v>373772266</v>
      </c>
      <c r="N27" s="4"/>
      <c r="O27" s="4">
        <f>IFERROR(VLOOKUP(A27,'درآمد ناشی از تغییر قیمت  '!$A$7:$Q$107,17,0),0)</f>
        <v>-338782048</v>
      </c>
      <c r="P27" s="4"/>
      <c r="Q27" s="4">
        <f>IFERROR(VLOOKUP(A27,'درآمد ناشی ازفروش'!$A$7:$Q$112,17,0),0)</f>
        <v>-130615196</v>
      </c>
      <c r="R27" s="4"/>
      <c r="S27" s="4">
        <f t="shared" si="2"/>
        <v>-95624978</v>
      </c>
      <c r="T27" s="148"/>
      <c r="U27" s="53">
        <f>S27/درآمدها!$J$4</f>
        <v>-4.1821266219923712E-3</v>
      </c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s="143" customFormat="1" ht="30.75">
      <c r="A28" s="194" t="s">
        <v>95</v>
      </c>
      <c r="C28" s="4">
        <f>IFERROR(VLOOKUP(A28,'درآمد سود سهام'!$A$8:$S$108,13,0),0)</f>
        <v>0</v>
      </c>
      <c r="D28" s="4"/>
      <c r="E28" s="4">
        <f>IFERROR(VLOOKUP(A28,'درآمد ناشی از تغییر قیمت  '!$A$7:$Q$107,9,0),0)</f>
        <v>146490537</v>
      </c>
      <c r="F28" s="4"/>
      <c r="G28" s="4">
        <f>IFERROR(VLOOKUP(A28,'درآمد ناشی ازفروش'!$A$7:$I$112,9,0),0)</f>
        <v>0</v>
      </c>
      <c r="H28" s="4"/>
      <c r="I28" s="4">
        <f t="shared" si="0"/>
        <v>146490537</v>
      </c>
      <c r="K28" s="126">
        <f t="shared" si="1"/>
        <v>4.029647473130088E-2</v>
      </c>
      <c r="M28" s="4">
        <f>IFERROR(VLOOKUP(A28,'درآمد سود سهام'!$A$8:$S$108,19,0),0)</f>
        <v>232158600</v>
      </c>
      <c r="N28" s="4"/>
      <c r="O28" s="4">
        <f>IFERROR(VLOOKUP(A28,'درآمد ناشی از تغییر قیمت  '!$A$7:$Q$107,17,0),0)</f>
        <v>27616380</v>
      </c>
      <c r="P28" s="4"/>
      <c r="Q28" s="4">
        <f>IFERROR(VLOOKUP(A28,'درآمد ناشی ازفروش'!$A$7:$Q$112,17,0),0)</f>
        <v>-849268479</v>
      </c>
      <c r="R28" s="4"/>
      <c r="S28" s="4">
        <f t="shared" si="2"/>
        <v>-589493499</v>
      </c>
      <c r="T28" s="148"/>
      <c r="U28" s="53">
        <f>S28/درآمدها!$J$4</f>
        <v>-2.5781302199717457E-2</v>
      </c>
      <c r="V28" s="149"/>
      <c r="W28" s="149"/>
      <c r="X28" s="149"/>
      <c r="Y28" s="149"/>
      <c r="Z28" s="149"/>
      <c r="AA28" s="149"/>
      <c r="AB28" s="149"/>
      <c r="AC28" s="149"/>
    </row>
    <row r="29" spans="1:30" s="143" customFormat="1" ht="30.75">
      <c r="A29" s="194" t="s">
        <v>103</v>
      </c>
      <c r="C29" s="4">
        <f>IFERROR(VLOOKUP(A29,'درآمد سود سهام'!$A$8:$S$108,13,0),0)</f>
        <v>0</v>
      </c>
      <c r="D29" s="4"/>
      <c r="E29" s="4">
        <f>IFERROR(VLOOKUP(A29,'درآمد ناشی از تغییر قیمت  '!$A$7:$Q$107,9,0),0)</f>
        <v>27507998</v>
      </c>
      <c r="F29" s="4"/>
      <c r="G29" s="4">
        <f>IFERROR(VLOOKUP(A29,'درآمد ناشی ازفروش'!$A$7:$I$112,9,0),0)</f>
        <v>0</v>
      </c>
      <c r="H29" s="4"/>
      <c r="I29" s="4">
        <f t="shared" si="0"/>
        <v>27507998</v>
      </c>
      <c r="K29" s="126">
        <f t="shared" si="1"/>
        <v>7.566873390024334E-3</v>
      </c>
      <c r="M29" s="4">
        <f>IFERROR(VLOOKUP(A29,'درآمد سود سهام'!$A$8:$S$108,19,0),0)</f>
        <v>122274500</v>
      </c>
      <c r="N29" s="4"/>
      <c r="O29" s="4">
        <f>IFERROR(VLOOKUP(A29,'درآمد ناشی از تغییر قیمت  '!$A$7:$Q$107,17,0),0)</f>
        <v>-232398530</v>
      </c>
      <c r="P29" s="4"/>
      <c r="Q29" s="4">
        <f>IFERROR(VLOOKUP(A29,'درآمد ناشی ازفروش'!$A$7:$Q$112,17,0),0)</f>
        <v>302212634</v>
      </c>
      <c r="R29" s="4"/>
      <c r="S29" s="4">
        <f t="shared" si="2"/>
        <v>192088604</v>
      </c>
      <c r="T29" s="148"/>
      <c r="U29" s="53">
        <f>S29/درآمدها!$J$4</f>
        <v>8.4009312354534644E-3</v>
      </c>
      <c r="V29" s="149"/>
      <c r="W29" s="149"/>
      <c r="X29" s="149"/>
      <c r="Y29" s="149"/>
      <c r="Z29" s="149"/>
      <c r="AA29" s="149"/>
      <c r="AB29" s="149"/>
      <c r="AC29" s="149"/>
    </row>
    <row r="30" spans="1:30" s="143" customFormat="1" ht="30.75">
      <c r="A30" s="194" t="s">
        <v>111</v>
      </c>
      <c r="C30" s="4">
        <f>IFERROR(VLOOKUP(A30,'درآمد سود سهام'!$A$8:$S$108,13,0),0)</f>
        <v>0</v>
      </c>
      <c r="D30" s="4"/>
      <c r="E30" s="4">
        <f>IFERROR(VLOOKUP(A30,'درآمد ناشی از تغییر قیمت  '!$A$7:$Q$107,9,0),0)</f>
        <v>547639919</v>
      </c>
      <c r="F30" s="4"/>
      <c r="G30" s="4">
        <f>IFERROR(VLOOKUP(A30,'درآمد ناشی ازفروش'!$A$7:$I$112,9,0),0)</f>
        <v>0</v>
      </c>
      <c r="H30" s="4"/>
      <c r="I30" s="4">
        <f t="shared" si="0"/>
        <v>547639919</v>
      </c>
      <c r="K30" s="126">
        <f t="shared" si="1"/>
        <v>0.15064425736820911</v>
      </c>
      <c r="M30" s="4">
        <f>IFERROR(VLOOKUP(A30,'درآمد سود سهام'!$A$8:$S$108,19,0),0)</f>
        <v>0</v>
      </c>
      <c r="N30" s="4"/>
      <c r="O30" s="4">
        <f>IFERROR(VLOOKUP(A30,'درآمد ناشی از تغییر قیمت  '!$A$7:$Q$107,17,0),0)</f>
        <v>121639670</v>
      </c>
      <c r="P30" s="4"/>
      <c r="Q30" s="4">
        <f>IFERROR(VLOOKUP(A30,'درآمد ناشی ازفروش'!$A$7:$Q$112,17,0),0)</f>
        <v>-1185098632</v>
      </c>
      <c r="R30" s="4"/>
      <c r="S30" s="4">
        <f t="shared" si="2"/>
        <v>-1063458962</v>
      </c>
      <c r="T30" s="148"/>
      <c r="U30" s="53">
        <f>S30/درآمدها!$J$4</f>
        <v>-4.6510024152649466E-2</v>
      </c>
      <c r="V30" s="149"/>
      <c r="W30" s="149"/>
      <c r="X30" s="149"/>
      <c r="Y30" s="149"/>
      <c r="Z30" s="149"/>
      <c r="AA30" s="149"/>
      <c r="AB30" s="149"/>
      <c r="AC30" s="149"/>
    </row>
    <row r="31" spans="1:30" s="143" customFormat="1" ht="33">
      <c r="A31" s="194" t="s">
        <v>124</v>
      </c>
      <c r="C31" s="4">
        <f>IFERROR(VLOOKUP(A31,'درآمد سود سهام'!$A$8:$S$108,13,0),0)</f>
        <v>0</v>
      </c>
      <c r="D31" s="4"/>
      <c r="E31" s="4">
        <f>IFERROR(VLOOKUP(A31,'درآمد ناشی از تغییر قیمت  '!$A$7:$Q$107,9,0),0)</f>
        <v>113555192</v>
      </c>
      <c r="F31" s="4"/>
      <c r="G31" s="4">
        <f>IFERROR(VLOOKUP(A31,'درآمد ناشی ازفروش'!$A$7:$I$112,9,0),0)</f>
        <v>0</v>
      </c>
      <c r="H31" s="4"/>
      <c r="I31" s="4">
        <f t="shared" si="0"/>
        <v>113555192</v>
      </c>
      <c r="K31" s="126">
        <f t="shared" si="1"/>
        <v>3.1236651996408613E-2</v>
      </c>
      <c r="M31" s="4">
        <f>IFERROR(VLOOKUP(A31,'درآمد سود سهام'!$A$8:$S$108,19,0),0)</f>
        <v>0</v>
      </c>
      <c r="N31" s="4"/>
      <c r="O31" s="4">
        <f>IFERROR(VLOOKUP(A31,'درآمد ناشی از تغییر قیمت  '!$A$7:$Q$107,17,0),0)</f>
        <v>-119602766</v>
      </c>
      <c r="P31" s="4"/>
      <c r="Q31" s="4">
        <f>IFERROR(VLOOKUP(A31,'درآمد ناشی ازفروش'!$A$7:$Q$112,17,0),0)</f>
        <v>-383949113</v>
      </c>
      <c r="R31" s="4"/>
      <c r="S31" s="4">
        <f t="shared" si="2"/>
        <v>-503551879</v>
      </c>
      <c r="T31" s="148"/>
      <c r="U31" s="53">
        <f>S31/درآمدها!$J$4</f>
        <v>-2.2022674020590952E-2</v>
      </c>
      <c r="V31" s="149"/>
      <c r="W31" s="195"/>
      <c r="X31" s="195"/>
      <c r="Z31" s="41"/>
      <c r="AA31" s="149"/>
      <c r="AB31" s="149"/>
      <c r="AC31" s="149"/>
    </row>
    <row r="32" spans="1:30" s="143" customFormat="1" ht="33">
      <c r="A32" s="194" t="s">
        <v>106</v>
      </c>
      <c r="C32" s="4">
        <f>IFERROR(VLOOKUP(A32,'درآمد سود سهام'!$A$8:$S$108,13,0),0)</f>
        <v>0</v>
      </c>
      <c r="D32" s="4"/>
      <c r="E32" s="4">
        <f>IFERROR(VLOOKUP(A32,'درآمد ناشی از تغییر قیمت  '!$A$7:$Q$107,9,0),0)</f>
        <v>0</v>
      </c>
      <c r="F32" s="4"/>
      <c r="G32" s="4">
        <f>IFERROR(VLOOKUP(A32,'درآمد ناشی ازفروش'!$A$7:$I$112,9,0),0)</f>
        <v>0</v>
      </c>
      <c r="H32" s="4"/>
      <c r="I32" s="4">
        <f t="shared" si="0"/>
        <v>0</v>
      </c>
      <c r="K32" s="126">
        <f t="shared" si="1"/>
        <v>0</v>
      </c>
      <c r="M32" s="4">
        <f>IFERROR(VLOOKUP(A32,'درآمد سود سهام'!$A$8:$S$108,19,0),0)</f>
        <v>0</v>
      </c>
      <c r="N32" s="4"/>
      <c r="O32" s="4">
        <f>IFERROR(VLOOKUP(A32,'درآمد ناشی از تغییر قیمت  '!$A$7:$Q$107,17,0),0)</f>
        <v>0</v>
      </c>
      <c r="P32" s="4"/>
      <c r="Q32" s="4">
        <f>IFERROR(VLOOKUP(A32,'درآمد ناشی ازفروش'!$A$7:$Q$112,17,0),0)</f>
        <v>-7895697</v>
      </c>
      <c r="R32" s="4"/>
      <c r="S32" s="4">
        <f t="shared" si="2"/>
        <v>-7895697</v>
      </c>
      <c r="T32" s="148"/>
      <c r="U32" s="53">
        <f>S32/درآمدها!$J$4</f>
        <v>-3.4531568334463094E-4</v>
      </c>
      <c r="V32" s="149"/>
      <c r="W32" s="185"/>
      <c r="X32" s="185"/>
      <c r="Y32" s="195"/>
      <c r="Z32" s="41"/>
      <c r="AA32" s="149"/>
      <c r="AB32" s="149"/>
      <c r="AC32" s="149"/>
    </row>
    <row r="33" spans="1:29" s="143" customFormat="1" ht="33">
      <c r="A33" s="194" t="s">
        <v>110</v>
      </c>
      <c r="C33" s="4">
        <f>IFERROR(VLOOKUP(A33,'درآمد سود سهام'!$A$8:$S$108,13,0),0)</f>
        <v>0</v>
      </c>
      <c r="D33" s="4"/>
      <c r="E33" s="4">
        <f>IFERROR(VLOOKUP(A33,'درآمد ناشی از تغییر قیمت  '!$A$7:$Q$107,9,0),0)</f>
        <v>-36921384</v>
      </c>
      <c r="F33" s="4"/>
      <c r="G33" s="4">
        <f>IFERROR(VLOOKUP(A33,'درآمد ناشی ازفروش'!$A$7:$I$112,9,0),0)</f>
        <v>0</v>
      </c>
      <c r="H33" s="4"/>
      <c r="I33" s="4">
        <f t="shared" si="0"/>
        <v>-36921384</v>
      </c>
      <c r="K33" s="126">
        <f t="shared" si="1"/>
        <v>-1.0156298474082708E-2</v>
      </c>
      <c r="M33" s="4">
        <f>IFERROR(VLOOKUP(A33,'درآمد سود سهام'!$A$8:$S$108,19,0),0)</f>
        <v>357917480</v>
      </c>
      <c r="N33" s="4"/>
      <c r="O33" s="4">
        <f>IFERROR(VLOOKUP(A33,'درآمد ناشی از تغییر قیمت  '!$A$7:$Q$107,17,0),0)</f>
        <v>-156020894</v>
      </c>
      <c r="P33" s="4"/>
      <c r="Q33" s="4">
        <f>IFERROR(VLOOKUP(A33,'درآمد ناشی ازفروش'!$A$7:$Q$112,17,0),0)</f>
        <v>261940668</v>
      </c>
      <c r="R33" s="4"/>
      <c r="S33" s="4">
        <f t="shared" si="2"/>
        <v>463837254</v>
      </c>
      <c r="T33" s="148"/>
      <c r="U33" s="53">
        <f>S33/درآمدها!$J$4</f>
        <v>2.0285768099473314E-2</v>
      </c>
      <c r="V33" s="149"/>
      <c r="W33" s="41"/>
      <c r="X33" s="41"/>
      <c r="Y33" s="185"/>
      <c r="Z33" s="41"/>
      <c r="AA33" s="149"/>
      <c r="AB33" s="149"/>
      <c r="AC33" s="149"/>
    </row>
    <row r="34" spans="1:29" s="143" customFormat="1" ht="33">
      <c r="A34" s="194" t="s">
        <v>122</v>
      </c>
      <c r="C34" s="4">
        <f>IFERROR(VLOOKUP(A34,'درآمد سود سهام'!$A$8:$S$108,13,0),0)</f>
        <v>0</v>
      </c>
      <c r="D34" s="4"/>
      <c r="E34" s="4">
        <f>IFERROR(VLOOKUP(A34,'درآمد ناشی از تغییر قیمت  '!$A$7:$Q$107,9,0),0)</f>
        <v>0</v>
      </c>
      <c r="F34" s="4"/>
      <c r="G34" s="4">
        <f>IFERROR(VLOOKUP(A34,'درآمد ناشی ازفروش'!$A$7:$I$112,9,0),0)</f>
        <v>0</v>
      </c>
      <c r="H34" s="4"/>
      <c r="I34" s="4">
        <f t="shared" si="0"/>
        <v>0</v>
      </c>
      <c r="K34" s="126">
        <f t="shared" si="1"/>
        <v>0</v>
      </c>
      <c r="M34" s="4">
        <f>IFERROR(VLOOKUP(A34,'درآمد سود سهام'!$A$8:$S$108,19,0),0)</f>
        <v>564024145</v>
      </c>
      <c r="N34" s="4"/>
      <c r="O34" s="4">
        <f>IFERROR(VLOOKUP(A34,'درآمد ناشی از تغییر قیمت  '!$A$7:$Q$107,17,0),0)</f>
        <v>0</v>
      </c>
      <c r="P34" s="4"/>
      <c r="Q34" s="4">
        <f>IFERROR(VLOOKUP(A34,'درآمد ناشی ازفروش'!$A$7:$Q$112,17,0),0)</f>
        <v>2103361053</v>
      </c>
      <c r="R34" s="4"/>
      <c r="S34" s="4">
        <f t="shared" si="2"/>
        <v>2667385198</v>
      </c>
      <c r="T34" s="148"/>
      <c r="U34" s="53">
        <f>S34/درآمدها!$J$4</f>
        <v>0.11665720485357071</v>
      </c>
      <c r="V34" s="149"/>
      <c r="W34" s="41"/>
      <c r="X34" s="41"/>
      <c r="Y34" s="41"/>
      <c r="Z34" s="41"/>
      <c r="AA34" s="149"/>
      <c r="AB34" s="149"/>
      <c r="AC34" s="149"/>
    </row>
    <row r="35" spans="1:29" s="143" customFormat="1" ht="61.5">
      <c r="A35" s="194" t="s">
        <v>101</v>
      </c>
      <c r="C35" s="4">
        <f>IFERROR(VLOOKUP(A35,'درآمد سود سهام'!$A$8:$S$108,13,0),0)</f>
        <v>0</v>
      </c>
      <c r="D35" s="4"/>
      <c r="E35" s="4">
        <f>IFERROR(VLOOKUP(A35,'درآمد ناشی از تغییر قیمت  '!$A$7:$Q$107,9,0),0)</f>
        <v>0</v>
      </c>
      <c r="F35" s="4"/>
      <c r="G35" s="4">
        <f>IFERROR(VLOOKUP(A35,'درآمد ناشی ازفروش'!$A$7:$I$112,9,0),0)</f>
        <v>0</v>
      </c>
      <c r="H35" s="4"/>
      <c r="I35" s="4">
        <f t="shared" si="0"/>
        <v>0</v>
      </c>
      <c r="K35" s="126">
        <f t="shared" si="1"/>
        <v>0</v>
      </c>
      <c r="M35" s="4">
        <f>IFERROR(VLOOKUP(A35,'درآمد سود سهام'!$A$8:$S$108,19,0),0)</f>
        <v>0</v>
      </c>
      <c r="N35" s="4"/>
      <c r="O35" s="4">
        <f>IFERROR(VLOOKUP(A35,'درآمد ناشی از تغییر قیمت  '!$A$7:$Q$107,17,0),0)</f>
        <v>0</v>
      </c>
      <c r="P35" s="4"/>
      <c r="Q35" s="4">
        <f>IFERROR(VLOOKUP(A35,'درآمد ناشی ازفروش'!$A$7:$Q$112,17,0),0)</f>
        <v>235633818</v>
      </c>
      <c r="R35" s="4"/>
      <c r="S35" s="4">
        <f t="shared" si="2"/>
        <v>235633818</v>
      </c>
      <c r="T35" s="148"/>
      <c r="U35" s="53">
        <f>S35/درآمدها!$J$4</f>
        <v>1.0305366692994223E-2</v>
      </c>
      <c r="V35" s="149"/>
      <c r="W35" s="41"/>
      <c r="X35" s="41"/>
      <c r="Y35" s="41"/>
      <c r="Z35" s="41"/>
      <c r="AA35" s="149"/>
      <c r="AB35" s="149"/>
      <c r="AC35" s="149"/>
    </row>
    <row r="36" spans="1:29" s="143" customFormat="1" ht="33">
      <c r="A36" s="194" t="s">
        <v>100</v>
      </c>
      <c r="C36" s="4">
        <f>IFERROR(VLOOKUP(A36,'درآمد سود سهام'!$A$8:$S$108,13,0),0)</f>
        <v>0</v>
      </c>
      <c r="D36" s="4"/>
      <c r="E36" s="4">
        <f>IFERROR(VLOOKUP(A36,'درآمد ناشی از تغییر قیمت  '!$A$7:$Q$107,9,0),0)</f>
        <v>0</v>
      </c>
      <c r="F36" s="4"/>
      <c r="G36" s="4">
        <f>IFERROR(VLOOKUP(A36,'درآمد ناشی ازفروش'!$A$7:$I$112,9,0),0)</f>
        <v>0</v>
      </c>
      <c r="H36" s="4"/>
      <c r="I36" s="4">
        <f t="shared" si="0"/>
        <v>0</v>
      </c>
      <c r="K36" s="126">
        <f t="shared" si="1"/>
        <v>0</v>
      </c>
      <c r="M36" s="4">
        <f>IFERROR(VLOOKUP(A36,'درآمد سود سهام'!$A$8:$S$108,19,0),0)</f>
        <v>0</v>
      </c>
      <c r="N36" s="4"/>
      <c r="O36" s="4">
        <f>IFERROR(VLOOKUP(A36,'درآمد ناشی از تغییر قیمت  '!$A$7:$Q$107,17,0),0)</f>
        <v>0</v>
      </c>
      <c r="P36" s="4"/>
      <c r="Q36" s="4">
        <f>IFERROR(VLOOKUP(A36,'درآمد ناشی ازفروش'!$A$7:$Q$112,17,0),0)</f>
        <v>4819534338</v>
      </c>
      <c r="R36" s="4"/>
      <c r="S36" s="4">
        <f t="shared" si="2"/>
        <v>4819534338</v>
      </c>
      <c r="T36" s="148"/>
      <c r="U36" s="53">
        <f>S36/درآمدها!$J$4</f>
        <v>0.21078073200242911</v>
      </c>
      <c r="V36" s="149"/>
      <c r="W36" s="41"/>
      <c r="X36" s="41"/>
      <c r="Y36" s="41"/>
      <c r="Z36" s="41"/>
      <c r="AA36" s="149"/>
      <c r="AB36" s="149"/>
      <c r="AC36" s="149"/>
    </row>
    <row r="37" spans="1:29" s="143" customFormat="1" ht="33">
      <c r="A37" s="194" t="s">
        <v>125</v>
      </c>
      <c r="C37" s="4">
        <f>IFERROR(VLOOKUP(A37,'درآمد سود سهام'!$A$8:$S$108,13,0),0)</f>
        <v>0</v>
      </c>
      <c r="D37" s="4"/>
      <c r="E37" s="4">
        <f>IFERROR(VLOOKUP(A37,'درآمد ناشی از تغییر قیمت  '!$A$7:$Q$107,9,0),0)</f>
        <v>1246315037</v>
      </c>
      <c r="F37" s="4"/>
      <c r="G37" s="4">
        <f>IFERROR(VLOOKUP(A37,'درآمد ناشی ازفروش'!$A$7:$I$112,9,0),0)</f>
        <v>0</v>
      </c>
      <c r="H37" s="4"/>
      <c r="I37" s="4">
        <f t="shared" si="0"/>
        <v>1246315037</v>
      </c>
      <c r="K37" s="126">
        <f t="shared" si="1"/>
        <v>0.34283513067953886</v>
      </c>
      <c r="M37" s="4">
        <f>IFERROR(VLOOKUP(A37,'درآمد سود سهام'!$A$8:$S$108,19,0),0)</f>
        <v>772875000</v>
      </c>
      <c r="N37" s="4"/>
      <c r="O37" s="4">
        <f>IFERROR(VLOOKUP(A37,'درآمد ناشی از تغییر قیمت  '!$A$7:$Q$107,17,0),0)</f>
        <v>198575293</v>
      </c>
      <c r="P37" s="4"/>
      <c r="Q37" s="4">
        <f>IFERROR(VLOOKUP(A37,'درآمد ناشی ازفروش'!$A$7:$Q$112,17,0),0)</f>
        <v>1633295555</v>
      </c>
      <c r="R37" s="4"/>
      <c r="S37" s="4">
        <f t="shared" si="2"/>
        <v>2604745848</v>
      </c>
      <c r="T37" s="148"/>
      <c r="U37" s="53">
        <f>S37/درآمدها!$J$4</f>
        <v>0.11391769370597811</v>
      </c>
      <c r="V37" s="149"/>
      <c r="W37" s="41"/>
      <c r="X37" s="41"/>
      <c r="Y37" s="41"/>
      <c r="Z37" s="41"/>
      <c r="AA37" s="149"/>
      <c r="AB37" s="149"/>
      <c r="AC37" s="149"/>
    </row>
    <row r="38" spans="1:29" s="143" customFormat="1" ht="33">
      <c r="A38" s="194" t="s">
        <v>126</v>
      </c>
      <c r="C38" s="4">
        <f>IFERROR(VLOOKUP(A38,'درآمد سود سهام'!$A$8:$S$108,13,0),0)</f>
        <v>0</v>
      </c>
      <c r="D38" s="4"/>
      <c r="E38" s="4">
        <f>IFERROR(VLOOKUP(A38,'درآمد ناشی از تغییر قیمت  '!$A$7:$Q$107,9,0),0)</f>
        <v>117297900</v>
      </c>
      <c r="F38" s="4"/>
      <c r="G38" s="4">
        <f>IFERROR(VLOOKUP(A38,'درآمد ناشی ازفروش'!$A$7:$I$112,9,0),0)</f>
        <v>0</v>
      </c>
      <c r="H38" s="4"/>
      <c r="I38" s="4">
        <f t="shared" si="0"/>
        <v>117297900</v>
      </c>
      <c r="K38" s="126">
        <f t="shared" si="1"/>
        <v>3.2266192480301013E-2</v>
      </c>
      <c r="M38" s="4">
        <f>IFERROR(VLOOKUP(A38,'درآمد سود سهام'!$A$8:$S$108,19,0),0)</f>
        <v>50000000</v>
      </c>
      <c r="N38" s="4"/>
      <c r="O38" s="4">
        <f>IFERROR(VLOOKUP(A38,'درآمد ناشی از تغییر قیمت  '!$A$7:$Q$107,17,0),0)</f>
        <v>364160880</v>
      </c>
      <c r="P38" s="4"/>
      <c r="Q38" s="4">
        <f>IFERROR(VLOOKUP(A38,'درآمد ناشی ازفروش'!$A$7:$Q$112,17,0),0)</f>
        <v>710090322</v>
      </c>
      <c r="R38" s="4"/>
      <c r="S38" s="4">
        <f t="shared" si="2"/>
        <v>1124251202</v>
      </c>
      <c r="T38" s="148"/>
      <c r="U38" s="53">
        <f>S38/درآمدها!$J$4</f>
        <v>4.916875255846985E-2</v>
      </c>
      <c r="V38" s="149"/>
      <c r="W38" s="41"/>
      <c r="X38" s="41"/>
      <c r="Y38" s="41"/>
      <c r="Z38" s="41"/>
      <c r="AA38" s="195"/>
      <c r="AB38" s="149"/>
      <c r="AC38" s="149"/>
    </row>
    <row r="39" spans="1:29" s="143" customFormat="1" ht="33">
      <c r="A39" s="194" t="s">
        <v>141</v>
      </c>
      <c r="C39" s="4">
        <f>IFERROR(VLOOKUP(A39,'درآمد سود سهام'!$A$8:$S$108,13,0),0)</f>
        <v>0</v>
      </c>
      <c r="D39" s="4"/>
      <c r="E39" s="4">
        <f>IFERROR(VLOOKUP(A39,'درآمد ناشی از تغییر قیمت  '!$A$7:$Q$107,9,0),0)</f>
        <v>-188819266</v>
      </c>
      <c r="F39" s="4"/>
      <c r="G39" s="4">
        <f>IFERROR(VLOOKUP(A39,'درآمد ناشی ازفروش'!$A$7:$I$112,9,0),0)</f>
        <v>341045534</v>
      </c>
      <c r="H39" s="4"/>
      <c r="I39" s="4">
        <f t="shared" si="0"/>
        <v>152226268</v>
      </c>
      <c r="K39" s="126">
        <f t="shared" si="1"/>
        <v>4.1874254047565104E-2</v>
      </c>
      <c r="M39" s="4">
        <f>IFERROR(VLOOKUP(A39,'درآمد سود سهام'!$A$8:$S$108,19,0),0)</f>
        <v>1875000000</v>
      </c>
      <c r="N39" s="4"/>
      <c r="O39" s="4">
        <f>IFERROR(VLOOKUP(A39,'درآمد ناشی از تغییر قیمت  '!$A$7:$Q$107,17,0),0)</f>
        <v>0</v>
      </c>
      <c r="P39" s="4"/>
      <c r="Q39" s="4">
        <f>IFERROR(VLOOKUP(A39,'درآمد ناشی ازفروش'!$A$7:$Q$112,17,0),0)</f>
        <v>316310624</v>
      </c>
      <c r="R39" s="4"/>
      <c r="S39" s="4">
        <f t="shared" si="2"/>
        <v>2191310624</v>
      </c>
      <c r="T39" s="148"/>
      <c r="U39" s="53">
        <f>S39/درآمدها!$J$4</f>
        <v>9.5836241632234573E-2</v>
      </c>
      <c r="V39" s="149"/>
      <c r="W39" s="41"/>
      <c r="X39" s="41"/>
      <c r="Y39" s="41"/>
      <c r="Z39" s="41"/>
      <c r="AA39" s="185"/>
      <c r="AB39" s="149"/>
      <c r="AC39" s="149"/>
    </row>
    <row r="40" spans="1:29" s="143" customFormat="1" ht="33">
      <c r="A40" s="194" t="s">
        <v>151</v>
      </c>
      <c r="C40" s="4">
        <f>IFERROR(VLOOKUP(A40,'درآمد سود سهام'!$A$8:$S$108,13,0),0)</f>
        <v>0</v>
      </c>
      <c r="D40" s="4"/>
      <c r="E40" s="4">
        <f>IFERROR(VLOOKUP(A40,'درآمد ناشی از تغییر قیمت  '!$A$7:$Q$107,9,0),0)</f>
        <v>0</v>
      </c>
      <c r="F40" s="4"/>
      <c r="G40" s="4">
        <f>IFERROR(VLOOKUP(A40,'درآمد ناشی ازفروش'!$A$7:$I$112,9,0),0)</f>
        <v>0</v>
      </c>
      <c r="H40" s="4"/>
      <c r="I40" s="4">
        <f t="shared" si="0"/>
        <v>0</v>
      </c>
      <c r="K40" s="126">
        <f t="shared" si="1"/>
        <v>0</v>
      </c>
      <c r="M40" s="4">
        <f>IFERROR(VLOOKUP(A40,'درآمد سود سهام'!$A$8:$S$108,19,0),0)</f>
        <v>0</v>
      </c>
      <c r="N40" s="4"/>
      <c r="O40" s="4">
        <f>IFERROR(VLOOKUP(A40,'درآمد ناشی از تغییر قیمت  '!$A$7:$Q$107,17,0),0)</f>
        <v>0</v>
      </c>
      <c r="P40" s="4"/>
      <c r="Q40" s="4">
        <f>IFERROR(VLOOKUP(A40,'درآمد ناشی ازفروش'!$A$7:$Q$112,17,0),0)</f>
        <v>-126126493</v>
      </c>
      <c r="R40" s="4"/>
      <c r="S40" s="4">
        <f t="shared" si="2"/>
        <v>-126126493</v>
      </c>
      <c r="T40" s="148"/>
      <c r="U40" s="53">
        <f>S40/درآمدها!$J$4</f>
        <v>-5.5161002401886514E-3</v>
      </c>
      <c r="V40" s="149"/>
      <c r="W40" s="41"/>
      <c r="X40" s="41"/>
      <c r="Y40" s="41"/>
      <c r="Z40" s="41"/>
      <c r="AA40" s="185"/>
      <c r="AB40" s="149"/>
      <c r="AC40" s="149"/>
    </row>
    <row r="41" spans="1:29" s="143" customFormat="1" ht="33">
      <c r="A41" s="194" t="s">
        <v>163</v>
      </c>
      <c r="C41" s="4">
        <f>IFERROR(VLOOKUP(A41,'درآمد سود سهام'!$A$8:$S$108,13,0),0)</f>
        <v>0</v>
      </c>
      <c r="D41" s="4"/>
      <c r="E41" s="4">
        <f>IFERROR(VLOOKUP(A41,'درآمد ناشی از تغییر قیمت  '!$A$7:$Q$107,9,0),0)</f>
        <v>-7363039</v>
      </c>
      <c r="F41" s="4"/>
      <c r="G41" s="4">
        <f>IFERROR(VLOOKUP(A41,'درآمد ناشی ازفروش'!$A$7:$I$112,9,0),0)</f>
        <v>0</v>
      </c>
      <c r="H41" s="4"/>
      <c r="I41" s="4">
        <f t="shared" si="0"/>
        <v>-7363039</v>
      </c>
      <c r="K41" s="126">
        <f t="shared" si="1"/>
        <v>-2.0254176214063772E-3</v>
      </c>
      <c r="M41" s="4">
        <f>IFERROR(VLOOKUP(A41,'درآمد سود سهام'!$A$8:$S$108,19,0),0)</f>
        <v>0</v>
      </c>
      <c r="N41" s="4"/>
      <c r="O41" s="4">
        <f>IFERROR(VLOOKUP(A41,'درآمد ناشی از تغییر قیمت  '!$A$7:$Q$107,17,0),0)</f>
        <v>-31858711</v>
      </c>
      <c r="P41" s="4"/>
      <c r="Q41" s="4">
        <f>IFERROR(VLOOKUP(A41,'درآمد ناشی ازفروش'!$A$7:$Q$112,17,0),0)</f>
        <v>0</v>
      </c>
      <c r="R41" s="4"/>
      <c r="S41" s="4">
        <f t="shared" si="2"/>
        <v>-31858711</v>
      </c>
      <c r="T41" s="148"/>
      <c r="U41" s="53">
        <f>S41/درآمدها!$J$4</f>
        <v>-1.3933301340520172E-3</v>
      </c>
      <c r="V41" s="149"/>
      <c r="W41" s="41"/>
      <c r="X41" s="41"/>
      <c r="Y41" s="41"/>
      <c r="Z41" s="41"/>
      <c r="AA41" s="41"/>
      <c r="AB41" s="195"/>
      <c r="AC41" s="195"/>
    </row>
    <row r="42" spans="1:29" s="195" customFormat="1" ht="25.5" customHeight="1" thickBot="1">
      <c r="C42" s="116">
        <f>SUM(C11:C41)</f>
        <v>0</v>
      </c>
      <c r="D42" s="70">
        <v>0</v>
      </c>
      <c r="E42" s="116">
        <f>SUM(E11:E41)</f>
        <v>3089800517</v>
      </c>
      <c r="F42" s="70">
        <v>0</v>
      </c>
      <c r="G42" s="116">
        <f>SUM(G11:G41)</f>
        <v>243984190</v>
      </c>
      <c r="H42" s="70">
        <v>0</v>
      </c>
      <c r="I42" s="116">
        <f>SUM(I11:I41)</f>
        <v>3333784707</v>
      </c>
      <c r="J42" s="196">
        <v>0</v>
      </c>
      <c r="K42" s="71">
        <f>SUM(K11:K41)</f>
        <v>0.91705426136312673</v>
      </c>
      <c r="M42" s="116">
        <f>SUM(M11:M41)</f>
        <v>6763777342</v>
      </c>
      <c r="N42" s="70"/>
      <c r="O42" s="116">
        <f>SUM(O11:O41)</f>
        <v>-1632006483</v>
      </c>
      <c r="P42" s="70"/>
      <c r="Q42" s="116">
        <f>SUM(Q11:Q41)</f>
        <v>11721594646</v>
      </c>
      <c r="R42" s="70"/>
      <c r="S42" s="116">
        <f>SUM(S11:S41)</f>
        <v>16853365505</v>
      </c>
      <c r="T42" s="196"/>
      <c r="U42" s="71">
        <f>SUM(U11:U41)</f>
        <v>0.73707633740452638</v>
      </c>
      <c r="W42" s="41"/>
      <c r="X42" s="41"/>
      <c r="Y42" s="41"/>
      <c r="Z42" s="41"/>
      <c r="AA42" s="41"/>
      <c r="AB42" s="185"/>
      <c r="AC42" s="185"/>
    </row>
    <row r="43" spans="1:29" ht="25.5" customHeight="1" thickTop="1">
      <c r="D43" s="4">
        <v>0</v>
      </c>
      <c r="F43" s="4">
        <v>0</v>
      </c>
      <c r="H43" s="4">
        <v>0</v>
      </c>
      <c r="J43" s="148">
        <v>0</v>
      </c>
      <c r="L43" s="143"/>
      <c r="N43" s="4"/>
      <c r="O43" s="197"/>
      <c r="P43" s="4"/>
      <c r="Q43" s="197"/>
      <c r="R43" s="4"/>
      <c r="S43" s="197"/>
      <c r="T43" s="197"/>
      <c r="W43" s="41"/>
      <c r="X43" s="41"/>
      <c r="Y43" s="41"/>
      <c r="AA43" s="41"/>
      <c r="AB43" s="41"/>
      <c r="AC43" s="41"/>
    </row>
    <row r="44" spans="1:29" s="41" customFormat="1" ht="33">
      <c r="Z44" s="185"/>
    </row>
    <row r="45" spans="1:29" s="41" customFormat="1" ht="33">
      <c r="W45" s="185"/>
      <c r="X45" s="185"/>
      <c r="Z45" s="185"/>
    </row>
    <row r="46" spans="1:29" s="41" customFormat="1" ht="33">
      <c r="W46" s="185"/>
      <c r="X46" s="185"/>
      <c r="Y46" s="185"/>
      <c r="Z46" s="185"/>
    </row>
    <row r="47" spans="1:29" s="41" customFormat="1" ht="33">
      <c r="W47" s="185"/>
      <c r="X47" s="185"/>
      <c r="Y47" s="185"/>
      <c r="Z47" s="185"/>
    </row>
    <row r="48" spans="1:29" s="41" customFormat="1" ht="33">
      <c r="W48" s="185"/>
      <c r="X48" s="185"/>
      <c r="Y48" s="185"/>
      <c r="Z48" s="185"/>
    </row>
    <row r="49" spans="23:29" s="41" customFormat="1" ht="33">
      <c r="W49" s="185"/>
      <c r="X49" s="185"/>
      <c r="Y49" s="185"/>
      <c r="Z49" s="185"/>
    </row>
    <row r="50" spans="23:29" s="41" customFormat="1" ht="33">
      <c r="W50" s="185"/>
      <c r="X50" s="185"/>
      <c r="Y50" s="185"/>
      <c r="Z50" s="185"/>
      <c r="AA50" s="185"/>
    </row>
    <row r="51" spans="23:29" s="41" customFormat="1" ht="33">
      <c r="W51" s="185"/>
      <c r="X51" s="185"/>
      <c r="Y51" s="185"/>
      <c r="Z51" s="185"/>
      <c r="AA51" s="185"/>
    </row>
    <row r="52" spans="23:29" s="41" customFormat="1" ht="33">
      <c r="W52" s="185"/>
      <c r="X52" s="185"/>
      <c r="Y52" s="185"/>
      <c r="Z52" s="185"/>
      <c r="AA52" s="185"/>
      <c r="AB52" s="185"/>
      <c r="AC52" s="185"/>
    </row>
  </sheetData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2"/>
  <sheetViews>
    <sheetView rightToLeft="1" view="pageBreakPreview" zoomScaleNormal="100" zoomScaleSheetLayoutView="100" workbookViewId="0">
      <selection activeCell="I22" sqref="I22"/>
    </sheetView>
  </sheetViews>
  <sheetFormatPr defaultColWidth="9.140625" defaultRowHeight="21.75"/>
  <cols>
    <col min="1" max="1" width="32.5703125" style="153" customWidth="1"/>
    <col min="2" max="2" width="0.42578125" style="153" customWidth="1"/>
    <col min="3" max="3" width="17.5703125" style="153" bestFit="1" customWidth="1"/>
    <col min="4" max="4" width="0.7109375" style="153" customWidth="1"/>
    <col min="5" max="5" width="20.140625" style="153" bestFit="1" customWidth="1"/>
    <col min="6" max="6" width="0.5703125" style="153" customWidth="1"/>
    <col min="7" max="7" width="18.85546875" style="153" bestFit="1" customWidth="1"/>
    <col min="8" max="8" width="0.5703125" style="153" customWidth="1"/>
    <col min="9" max="9" width="19.5703125" style="153" bestFit="1" customWidth="1"/>
    <col min="10" max="10" width="0.42578125" style="153" customWidth="1"/>
    <col min="11" max="11" width="17.5703125" style="153" bestFit="1" customWidth="1"/>
    <col min="12" max="12" width="0.5703125" style="153" customWidth="1"/>
    <col min="13" max="13" width="20.140625" style="153" bestFit="1" customWidth="1"/>
    <col min="14" max="14" width="0.85546875" style="153" customWidth="1"/>
    <col min="15" max="15" width="19.28515625" style="153" bestFit="1" customWidth="1"/>
    <col min="16" max="16" width="0.5703125" style="153" customWidth="1"/>
    <col min="17" max="17" width="20.140625" style="153" bestFit="1" customWidth="1"/>
    <col min="18" max="18" width="9.140625" style="153"/>
    <col min="19" max="19" width="13.7109375" style="153" bestFit="1" customWidth="1"/>
    <col min="20" max="16384" width="9.140625" style="153"/>
  </cols>
  <sheetData>
    <row r="1" spans="1:17" ht="21" customHeight="1">
      <c r="A1" s="332" t="s">
        <v>87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ht="18" customHeight="1">
      <c r="A2" s="332" t="s">
        <v>52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19.5" customHeight="1">
      <c r="A3" s="332" t="str">
        <f>' سهام'!A3:W3</f>
        <v>برای ماه منتهی به 1403/06/31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7">
      <c r="A4" s="303" t="s">
        <v>26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17" ht="4.5" customHeight="1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22.5" customHeight="1" thickBot="1">
      <c r="A6" s="199"/>
      <c r="B6" s="200"/>
      <c r="C6" s="332" t="str">
        <f>'درآمد سرمایه گذاری در سهام '!C7</f>
        <v>طی شهریور ماه</v>
      </c>
      <c r="D6" s="332"/>
      <c r="E6" s="332"/>
      <c r="F6" s="332"/>
      <c r="G6" s="332"/>
      <c r="H6" s="332"/>
      <c r="I6" s="332"/>
      <c r="J6" s="252"/>
      <c r="K6" s="335" t="str">
        <f>'درآمد سرمایه گذاری در سهام '!M7</f>
        <v>از ابتدای سال مالی تا پایان شهریور ماه</v>
      </c>
      <c r="L6" s="335"/>
      <c r="M6" s="335"/>
      <c r="N6" s="335"/>
      <c r="O6" s="335"/>
      <c r="P6" s="335"/>
      <c r="Q6" s="335"/>
    </row>
    <row r="7" spans="1:17" ht="15.75" customHeight="1">
      <c r="A7" s="337"/>
      <c r="B7" s="338"/>
      <c r="C7" s="333" t="s">
        <v>12</v>
      </c>
      <c r="D7" s="333"/>
      <c r="E7" s="333" t="s">
        <v>10</v>
      </c>
      <c r="F7" s="301"/>
      <c r="G7" s="333" t="s">
        <v>11</v>
      </c>
      <c r="H7" s="337"/>
      <c r="I7" s="333" t="s">
        <v>2</v>
      </c>
      <c r="J7" s="251"/>
      <c r="K7" s="333" t="s">
        <v>12</v>
      </c>
      <c r="L7" s="333"/>
      <c r="M7" s="333" t="s">
        <v>10</v>
      </c>
      <c r="N7" s="301"/>
      <c r="O7" s="333" t="s">
        <v>11</v>
      </c>
      <c r="P7" s="337"/>
      <c r="Q7" s="333" t="s">
        <v>2</v>
      </c>
    </row>
    <row r="8" spans="1:17" ht="12" customHeight="1">
      <c r="A8" s="338"/>
      <c r="B8" s="338"/>
      <c r="C8" s="334"/>
      <c r="D8" s="334"/>
      <c r="E8" s="334"/>
      <c r="F8" s="336"/>
      <c r="G8" s="334"/>
      <c r="H8" s="338"/>
      <c r="I8" s="334"/>
      <c r="J8" s="251"/>
      <c r="K8" s="334"/>
      <c r="L8" s="334"/>
      <c r="M8" s="334"/>
      <c r="N8" s="336"/>
      <c r="O8" s="334"/>
      <c r="P8" s="338"/>
      <c r="Q8" s="334"/>
    </row>
    <row r="9" spans="1:17" ht="14.25" customHeight="1" thickBot="1">
      <c r="A9" s="338"/>
      <c r="B9" s="338"/>
      <c r="C9" s="253" t="s">
        <v>62</v>
      </c>
      <c r="D9" s="334"/>
      <c r="E9" s="253" t="s">
        <v>57</v>
      </c>
      <c r="F9" s="336"/>
      <c r="G9" s="253" t="s">
        <v>58</v>
      </c>
      <c r="H9" s="338"/>
      <c r="I9" s="339"/>
      <c r="J9" s="201"/>
      <c r="K9" s="253" t="s">
        <v>62</v>
      </c>
      <c r="L9" s="334"/>
      <c r="M9" s="253" t="s">
        <v>57</v>
      </c>
      <c r="N9" s="336"/>
      <c r="O9" s="253" t="s">
        <v>58</v>
      </c>
      <c r="P9" s="338"/>
      <c r="Q9" s="339"/>
    </row>
    <row r="10" spans="1:17" ht="21" customHeight="1">
      <c r="A10" s="175" t="s">
        <v>108</v>
      </c>
      <c r="B10" s="202"/>
      <c r="C10" s="32">
        <f>IFERROR(VLOOKUP(A10,'سود اوراق بهادار'!$A$8:$R$50,6,0),0)</f>
        <v>0</v>
      </c>
      <c r="D10" s="16"/>
      <c r="E10" s="32">
        <f>IFERROR(VLOOKUP(A10,'درآمد ناشی از تغییر قیمت  '!$A$7:$Q$107,9,0),0)</f>
        <v>0</v>
      </c>
      <c r="F10" s="16"/>
      <c r="G10" s="32">
        <f>IFERROR(VLOOKUP(A10,'درآمد ناشی ازفروش'!$A$7:$I$112,9,0),0)</f>
        <v>0</v>
      </c>
      <c r="H10" s="16"/>
      <c r="I10" s="32">
        <f>C10+E10+G10</f>
        <v>0</v>
      </c>
      <c r="J10" s="16"/>
      <c r="K10" s="32">
        <f>IFERROR(VLOOKUP(A10,'سود اوراق بهادار'!$A$8:$R$50,12,0),0)</f>
        <v>0</v>
      </c>
      <c r="L10" s="16"/>
      <c r="M10" s="32">
        <f>IFERROR(VLOOKUP(A10,'درآمد ناشی از تغییر قیمت  '!$A$7:$Q$107,17,0),0)</f>
        <v>0</v>
      </c>
      <c r="N10" s="16"/>
      <c r="O10" s="32">
        <f>IFERROR(VLOOKUP(A10,'درآمد ناشی ازفروش'!$A$7:$Q$112,17,0),0)</f>
        <v>137607570</v>
      </c>
      <c r="P10" s="16"/>
      <c r="Q10" s="32">
        <f>K10+M10+O10</f>
        <v>137607570</v>
      </c>
    </row>
    <row r="11" spans="1:17" ht="21" customHeight="1">
      <c r="A11" s="175" t="s">
        <v>127</v>
      </c>
      <c r="B11" s="202"/>
      <c r="C11" s="32">
        <f>IFERROR(VLOOKUP(A11,'سود اوراق بهادار'!$A$8:$R$50,6,0),0)</f>
        <v>0</v>
      </c>
      <c r="D11" s="16"/>
      <c r="E11" s="32">
        <f>IFERROR(VLOOKUP(A11,'درآمد ناشی از تغییر قیمت  '!$A$7:$Q$107,9,0),0)</f>
        <v>68067660</v>
      </c>
      <c r="F11" s="16"/>
      <c r="G11" s="32">
        <f>IFERROR(VLOOKUP(A11,'درآمد ناشی ازفروش'!$A$7:$I$112,9,0),0)</f>
        <v>0</v>
      </c>
      <c r="H11" s="16"/>
      <c r="I11" s="32">
        <f t="shared" ref="I11:I14" si="0">C11+E11+G11</f>
        <v>68067660</v>
      </c>
      <c r="J11" s="16"/>
      <c r="K11" s="32">
        <f>IFERROR(VLOOKUP(A11,'سود اوراق بهادار'!$A$8:$R$50,12,0),0)</f>
        <v>0</v>
      </c>
      <c r="L11" s="16"/>
      <c r="M11" s="32">
        <f>IFERROR(VLOOKUP(A11,'درآمد ناشی از تغییر قیمت  '!$A$7:$Q$107,17,0),0)</f>
        <v>823139266</v>
      </c>
      <c r="N11" s="16"/>
      <c r="O11" s="32">
        <f>IFERROR(VLOOKUP(A11,'درآمد ناشی ازفروش'!$A$7:$Q$112,17,0),0)</f>
        <v>0</v>
      </c>
      <c r="P11" s="16"/>
      <c r="Q11" s="32">
        <f t="shared" ref="Q11:Q14" si="1">K11+M11+O11</f>
        <v>823139266</v>
      </c>
    </row>
    <row r="12" spans="1:17" ht="21" customHeight="1">
      <c r="A12" s="175" t="s">
        <v>113</v>
      </c>
      <c r="B12" s="202"/>
      <c r="C12" s="32">
        <f>IFERROR(VLOOKUP(A12,'سود اوراق بهادار'!$A$8:$R$50,6,0),0)</f>
        <v>0</v>
      </c>
      <c r="D12" s="16"/>
      <c r="E12" s="32">
        <f>IFERROR(VLOOKUP(A12,'درآمد ناشی از تغییر قیمت  '!$A$7:$Q$107,9,0),0)</f>
        <v>0</v>
      </c>
      <c r="F12" s="16"/>
      <c r="G12" s="32">
        <f>IFERROR(VLOOKUP(A12,'درآمد ناشی ازفروش'!$A$7:$I$112,9,0),0)</f>
        <v>0</v>
      </c>
      <c r="H12" s="16"/>
      <c r="I12" s="32">
        <f t="shared" si="0"/>
        <v>0</v>
      </c>
      <c r="J12" s="16"/>
      <c r="K12" s="32">
        <f>IFERROR(VLOOKUP(A12,'سود اوراق بهادار'!$A$8:$R$50,12,0),0)</f>
        <v>0</v>
      </c>
      <c r="L12" s="16"/>
      <c r="M12" s="32">
        <f>IFERROR(VLOOKUP(A12,'درآمد ناشی از تغییر قیمت  '!$A$7:$Q$107,17,0),0)</f>
        <v>0</v>
      </c>
      <c r="N12" s="16"/>
      <c r="O12" s="32">
        <f>IFERROR(VLOOKUP(A12,'درآمد ناشی ازفروش'!$A$7:$Q$112,17,0),0)</f>
        <v>532189472</v>
      </c>
      <c r="P12" s="16"/>
      <c r="Q12" s="32">
        <f t="shared" si="1"/>
        <v>532189472</v>
      </c>
    </row>
    <row r="13" spans="1:17" ht="21" customHeight="1">
      <c r="A13" s="175" t="s">
        <v>114</v>
      </c>
      <c r="B13" s="202"/>
      <c r="C13" s="32">
        <f>IFERROR(VLOOKUP(A13,'سود اوراق بهادار'!$A$8:$R$50,6,0),0)</f>
        <v>0</v>
      </c>
      <c r="D13" s="16"/>
      <c r="E13" s="32">
        <f>IFERROR(VLOOKUP(A13,'درآمد ناشی از تغییر قیمت  '!$A$7:$Q$107,9,0),0)</f>
        <v>43797260</v>
      </c>
      <c r="F13" s="16"/>
      <c r="G13" s="32">
        <f>IFERROR(VLOOKUP(A13,'درآمد ناشی ازفروش'!$A$7:$I$112,9,0),0)</f>
        <v>0</v>
      </c>
      <c r="H13" s="16"/>
      <c r="I13" s="32">
        <f t="shared" si="0"/>
        <v>43797260</v>
      </c>
      <c r="J13" s="16"/>
      <c r="K13" s="32">
        <f>IFERROR(VLOOKUP(A13,'سود اوراق بهادار'!$A$8:$R$50,12,0),0)</f>
        <v>0</v>
      </c>
      <c r="L13" s="16"/>
      <c r="M13" s="32">
        <f>IFERROR(VLOOKUP(A13,'درآمد ناشی از تغییر قیمت  '!$A$7:$Q$107,17,0),0)</f>
        <v>833665851</v>
      </c>
      <c r="N13" s="16"/>
      <c r="O13" s="32">
        <f>IFERROR(VLOOKUP(A13,'درآمد ناشی ازفروش'!$A$7:$Q$112,17,0),0)</f>
        <v>-112774874</v>
      </c>
      <c r="P13" s="16"/>
      <c r="Q13" s="32">
        <f t="shared" si="1"/>
        <v>720890977</v>
      </c>
    </row>
    <row r="14" spans="1:17" ht="21" customHeight="1">
      <c r="A14" s="175" t="s">
        <v>112</v>
      </c>
      <c r="B14" s="202"/>
      <c r="C14" s="32">
        <f>IFERROR(VLOOKUP(A14,'سود اوراق بهادار'!$A$8:$R$50,6,0),0)</f>
        <v>0</v>
      </c>
      <c r="D14" s="16"/>
      <c r="E14" s="32">
        <f>IFERROR(VLOOKUP(A14,'درآمد ناشی از تغییر قیمت  '!$A$7:$Q$107,9,0),0)</f>
        <v>115256906</v>
      </c>
      <c r="F14" s="16"/>
      <c r="G14" s="32">
        <f>IFERROR(VLOOKUP(A14,'درآمد ناشی ازفروش'!$A$7:$I$112,9,0),0)</f>
        <v>0</v>
      </c>
      <c r="H14" s="16"/>
      <c r="I14" s="32">
        <f t="shared" si="0"/>
        <v>115256906</v>
      </c>
      <c r="J14" s="16"/>
      <c r="K14" s="32">
        <f>IFERROR(VLOOKUP(A14,'سود اوراق بهادار'!$A$8:$R$50,12,0),0)</f>
        <v>0</v>
      </c>
      <c r="L14" s="16"/>
      <c r="M14" s="32">
        <f>IFERROR(VLOOKUP(A14,'درآمد ناشی از تغییر قیمت  '!$A$7:$Q$107,17,0),0)</f>
        <v>1491679842</v>
      </c>
      <c r="N14" s="16"/>
      <c r="O14" s="32">
        <f>IFERROR(VLOOKUP(A14,'درآمد ناشی ازفروش'!$A$7:$Q$112,17,0),0)</f>
        <v>133593300</v>
      </c>
      <c r="P14" s="16"/>
      <c r="Q14" s="32">
        <f t="shared" si="1"/>
        <v>1625273142</v>
      </c>
    </row>
    <row r="15" spans="1:17" ht="21" customHeight="1" thickBot="1">
      <c r="A15" s="203" t="s">
        <v>2</v>
      </c>
      <c r="B15" s="204"/>
      <c r="C15" s="77">
        <f>SUM(C10:C14)</f>
        <v>0</v>
      </c>
      <c r="D15" s="74">
        <f t="shared" ref="D15:P15" si="2">SUM(D10:D10)</f>
        <v>0</v>
      </c>
      <c r="E15" s="77">
        <f>SUM(E10:E14)</f>
        <v>227121826</v>
      </c>
      <c r="F15" s="74">
        <f t="shared" si="2"/>
        <v>0</v>
      </c>
      <c r="G15" s="77">
        <f>SUM(G10:G14)</f>
        <v>0</v>
      </c>
      <c r="H15" s="74">
        <f t="shared" si="2"/>
        <v>0</v>
      </c>
      <c r="I15" s="77">
        <f>SUM(I10:I14)</f>
        <v>227121826</v>
      </c>
      <c r="J15" s="74">
        <f t="shared" si="2"/>
        <v>0</v>
      </c>
      <c r="K15" s="77">
        <f>SUM(K10:K14)</f>
        <v>0</v>
      </c>
      <c r="L15" s="74">
        <f t="shared" si="2"/>
        <v>0</v>
      </c>
      <c r="M15" s="77">
        <f>SUM(M10:M14)</f>
        <v>3148484959</v>
      </c>
      <c r="N15" s="74">
        <f t="shared" si="2"/>
        <v>0</v>
      </c>
      <c r="O15" s="77">
        <f>SUM(O10:O14)</f>
        <v>690615468</v>
      </c>
      <c r="P15" s="74">
        <f t="shared" si="2"/>
        <v>0</v>
      </c>
      <c r="Q15" s="77">
        <f>SUM(Q10:Q14)</f>
        <v>3839100427</v>
      </c>
    </row>
    <row r="16" spans="1:17" ht="22.5" thickTop="1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5:17" s="16" customFormat="1"/>
    <row r="18" spans="15:17" s="16" customFormat="1"/>
    <row r="19" spans="15:17" s="16" customFormat="1"/>
    <row r="20" spans="15:17">
      <c r="O20" s="206"/>
    </row>
    <row r="21" spans="15:17">
      <c r="O21" s="205"/>
      <c r="Q21" s="205"/>
    </row>
    <row r="22" spans="15:17">
      <c r="O22" s="206"/>
      <c r="Q22" s="206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L16"/>
  <sheetViews>
    <sheetView rightToLeft="1" view="pageBreakPreview" zoomScaleNormal="100" zoomScaleSheetLayoutView="100" workbookViewId="0">
      <selection activeCell="G21" sqref="G21"/>
    </sheetView>
  </sheetViews>
  <sheetFormatPr defaultColWidth="9.140625" defaultRowHeight="21.75"/>
  <cols>
    <col min="1" max="1" width="35.85546875" style="153" bestFit="1" customWidth="1"/>
    <col min="2" max="2" width="0.7109375" style="153" customWidth="1"/>
    <col min="3" max="3" width="18.42578125" style="45" customWidth="1"/>
    <col min="4" max="4" width="1.42578125" style="45" customWidth="1"/>
    <col min="5" max="5" width="16.85546875" style="45" customWidth="1"/>
    <col min="6" max="6" width="1.42578125" style="45" customWidth="1"/>
    <col min="7" max="7" width="18" style="45" customWidth="1"/>
    <col min="8" max="8" width="1.28515625" style="153" customWidth="1"/>
    <col min="9" max="9" width="16.42578125" style="153" customWidth="1"/>
    <col min="10" max="10" width="0.7109375" style="153" customWidth="1"/>
    <col min="11" max="11" width="9.7109375" style="153" customWidth="1"/>
    <col min="12" max="12" width="15.42578125" style="153" bestFit="1" customWidth="1"/>
    <col min="13" max="16384" width="9.140625" style="153"/>
  </cols>
  <sheetData>
    <row r="1" spans="1:12" ht="22.5">
      <c r="A1" s="332" t="s">
        <v>87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2" ht="22.5">
      <c r="A2" s="332" t="s">
        <v>52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2" ht="22.5">
      <c r="A3" s="332" t="str">
        <f>' سهام'!A3:W3</f>
        <v>برای ماه منتهی به 1403/06/31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2">
      <c r="A4" s="303" t="s">
        <v>27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2" ht="22.5" thickBot="1">
      <c r="A5" s="171"/>
      <c r="B5" s="171"/>
      <c r="C5" s="11"/>
      <c r="D5" s="11"/>
      <c r="E5" s="11"/>
      <c r="F5" s="11"/>
      <c r="G5" s="11"/>
      <c r="H5" s="171"/>
      <c r="I5" s="171"/>
      <c r="J5" s="171"/>
    </row>
    <row r="6" spans="1:12" ht="37.5" customHeight="1" thickBot="1">
      <c r="A6" s="340" t="s">
        <v>17</v>
      </c>
      <c r="B6" s="340"/>
      <c r="C6" s="341" t="str">
        <f>'درآمد سرمایه گذاری در سهام '!C7</f>
        <v>طی شهریور ماه</v>
      </c>
      <c r="D6" s="341"/>
      <c r="E6" s="341"/>
      <c r="F6" s="341"/>
      <c r="G6" s="340" t="str">
        <f>'درآمد سرمایه گذاری در سهام '!M7</f>
        <v>از ابتدای سال مالی تا پایان شهریور ماه</v>
      </c>
      <c r="H6" s="340"/>
      <c r="I6" s="340"/>
      <c r="J6" s="340"/>
    </row>
    <row r="7" spans="1:12" ht="37.5">
      <c r="A7" s="207" t="s">
        <v>13</v>
      </c>
      <c r="B7" s="252"/>
      <c r="C7" s="42" t="s">
        <v>14</v>
      </c>
      <c r="D7" s="43"/>
      <c r="E7" s="42" t="s">
        <v>15</v>
      </c>
      <c r="F7" s="44"/>
      <c r="G7" s="42" t="s">
        <v>14</v>
      </c>
      <c r="H7" s="252"/>
      <c r="I7" s="207" t="s">
        <v>15</v>
      </c>
      <c r="J7" s="252"/>
    </row>
    <row r="8" spans="1:12" ht="33" customHeight="1">
      <c r="A8" s="208" t="s">
        <v>153</v>
      </c>
      <c r="B8" s="202"/>
      <c r="C8" s="12">
        <f>VLOOKUP(A8,'سود سپرده بانکی'!$A$7:$L$31,6,0)</f>
        <v>145818</v>
      </c>
      <c r="D8" s="202"/>
      <c r="E8" s="209">
        <f>C8/$C$11</f>
        <v>2.4458031307782933E-2</v>
      </c>
      <c r="F8" s="202"/>
      <c r="G8" s="12">
        <f>VLOOKUP(A8,'سود سپرده بانکی'!$A$7:$L$31,12,0)</f>
        <v>241779244</v>
      </c>
      <c r="H8" s="202"/>
      <c r="I8" s="209">
        <f>G8/$G$11</f>
        <v>0.43383051276587148</v>
      </c>
      <c r="J8" s="252"/>
      <c r="K8" s="206"/>
      <c r="L8" s="206"/>
    </row>
    <row r="9" spans="1:12" ht="27" customHeight="1">
      <c r="A9" s="208" t="s">
        <v>96</v>
      </c>
      <c r="B9" s="202"/>
      <c r="C9" s="12">
        <f>VLOOKUP(A9,'سود سپرده بانکی'!$A$7:$L$31,6,0)</f>
        <v>1229849.4736842103</v>
      </c>
      <c r="D9" s="202"/>
      <c r="E9" s="209">
        <f t="shared" ref="E9:E10" si="0">C9/$C$11</f>
        <v>0.20628246808507028</v>
      </c>
      <c r="F9" s="202"/>
      <c r="G9" s="12">
        <f>VLOOKUP(A9,'سود سپرده بانکی'!$A$7:$L$31,12,0)</f>
        <v>66543707.315789461</v>
      </c>
      <c r="H9" s="202"/>
      <c r="I9" s="209">
        <f t="shared" ref="I9:I10" si="1">G9/$G$11</f>
        <v>0.11940102958610879</v>
      </c>
      <c r="J9" s="252"/>
      <c r="K9" s="206"/>
      <c r="L9" s="206"/>
    </row>
    <row r="10" spans="1:12" ht="27" customHeight="1" thickBot="1">
      <c r="A10" s="208" t="s">
        <v>142</v>
      </c>
      <c r="B10" s="202"/>
      <c r="C10" s="12">
        <f>VLOOKUP(A10,'سود سپرده بانکی'!$A$7:$L$31,6,0)</f>
        <v>4586300.5263157897</v>
      </c>
      <c r="D10" s="202"/>
      <c r="E10" s="209">
        <f t="shared" si="0"/>
        <v>0.76925950060714676</v>
      </c>
      <c r="F10" s="202"/>
      <c r="G10" s="12">
        <f>VLOOKUP(A10,'سود سپرده بانکی'!$A$7:$L$31,12,0)</f>
        <v>248989724.68421054</v>
      </c>
      <c r="H10" s="202"/>
      <c r="I10" s="209">
        <f t="shared" si="1"/>
        <v>0.4467684576480197</v>
      </c>
      <c r="J10" s="252"/>
      <c r="K10" s="206"/>
      <c r="L10" s="206"/>
    </row>
    <row r="11" spans="1:12" ht="22.5" thickBot="1">
      <c r="A11" s="203" t="s">
        <v>2</v>
      </c>
      <c r="B11" s="204"/>
      <c r="C11" s="68">
        <f>SUM(C8:C10)</f>
        <v>5961968</v>
      </c>
      <c r="D11" s="202"/>
      <c r="E11" s="72">
        <f>SUM(E8:E10)</f>
        <v>1</v>
      </c>
      <c r="F11" s="202"/>
      <c r="G11" s="68">
        <f>SUM(G8:G10)</f>
        <v>557312676</v>
      </c>
      <c r="H11" s="202"/>
      <c r="I11" s="72">
        <f>SUM(I8:I10)</f>
        <v>1</v>
      </c>
      <c r="J11" s="252"/>
    </row>
    <row r="12" spans="1:12" ht="22.5" thickTop="1">
      <c r="D12" s="202"/>
      <c r="F12" s="202"/>
      <c r="H12" s="202"/>
    </row>
    <row r="13" spans="1:12">
      <c r="C13" s="205"/>
      <c r="D13" s="153"/>
      <c r="E13" s="153"/>
      <c r="F13" s="153"/>
      <c r="G13" s="205"/>
    </row>
    <row r="14" spans="1:12">
      <c r="C14" s="12"/>
      <c r="D14" s="12"/>
      <c r="E14" s="12"/>
      <c r="F14" s="12"/>
      <c r="G14" s="12"/>
      <c r="H14" s="12"/>
      <c r="I14" s="12"/>
    </row>
    <row r="15" spans="1:12">
      <c r="C15" s="12"/>
      <c r="D15" s="12"/>
      <c r="E15" s="12"/>
      <c r="F15" s="12"/>
      <c r="G15" s="12"/>
      <c r="H15" s="12"/>
      <c r="I15" s="12"/>
    </row>
    <row r="16" spans="1:12">
      <c r="C16" s="16"/>
      <c r="G16" s="16"/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M20"/>
  <sheetViews>
    <sheetView rightToLeft="1" view="pageBreakPreview" zoomScaleNormal="100" zoomScaleSheetLayoutView="100" workbookViewId="0">
      <selection activeCell="M14" sqref="M14"/>
    </sheetView>
  </sheetViews>
  <sheetFormatPr defaultColWidth="9.140625" defaultRowHeight="18"/>
  <cols>
    <col min="1" max="1" width="32.42578125" style="170" customWidth="1"/>
    <col min="2" max="2" width="1.42578125" style="170" customWidth="1"/>
    <col min="3" max="3" width="17.7109375" style="170" bestFit="1" customWidth="1"/>
    <col min="4" max="4" width="0.85546875" style="170" customWidth="1"/>
    <col min="5" max="5" width="18.140625" style="170" customWidth="1"/>
    <col min="6" max="8" width="9.140625" style="170"/>
    <col min="9" max="9" width="11.28515625" style="170" bestFit="1" customWidth="1"/>
    <col min="10" max="10" width="10.85546875" style="170" bestFit="1" customWidth="1"/>
    <col min="11" max="11" width="9.140625" style="170"/>
    <col min="12" max="12" width="9.85546875" style="170" bestFit="1" customWidth="1"/>
    <col min="13" max="13" width="11.28515625" style="170" bestFit="1" customWidth="1"/>
    <col min="14" max="16384" width="9.140625" style="170"/>
  </cols>
  <sheetData>
    <row r="1" spans="1:13" s="210" customFormat="1" ht="18.75">
      <c r="A1" s="300" t="s">
        <v>87</v>
      </c>
      <c r="B1" s="300"/>
      <c r="C1" s="300"/>
      <c r="D1" s="300"/>
      <c r="E1" s="300"/>
    </row>
    <row r="2" spans="1:13" s="210" customFormat="1" ht="18.75">
      <c r="A2" s="300" t="s">
        <v>52</v>
      </c>
      <c r="B2" s="300"/>
      <c r="C2" s="300"/>
      <c r="D2" s="300"/>
      <c r="E2" s="300"/>
    </row>
    <row r="3" spans="1:13" s="210" customFormat="1" ht="18.75">
      <c r="A3" s="300" t="str">
        <f>' سهام'!A3:W3</f>
        <v>برای ماه منتهی به 1403/06/31</v>
      </c>
      <c r="B3" s="300"/>
      <c r="C3" s="300"/>
      <c r="D3" s="300"/>
      <c r="E3" s="300"/>
    </row>
    <row r="4" spans="1:13" ht="18.75">
      <c r="A4" s="303" t="s">
        <v>28</v>
      </c>
      <c r="B4" s="303"/>
      <c r="C4" s="303"/>
      <c r="D4" s="303"/>
      <c r="E4" s="303"/>
    </row>
    <row r="5" spans="1:13" ht="49.5" customHeight="1" thickBot="1">
      <c r="A5" s="199"/>
      <c r="B5" s="200"/>
      <c r="C5" s="253" t="str">
        <f>'درآمد سرمایه گذاری در سهام '!C7</f>
        <v>طی شهریور ماه</v>
      </c>
      <c r="D5" s="252"/>
      <c r="E5" s="253" t="str">
        <f>'درآمد سرمایه گذاری در سهام '!M7</f>
        <v>از ابتدای سال مالی تا پایان شهریور ماه</v>
      </c>
    </row>
    <row r="6" spans="1:13" ht="16.5" customHeight="1">
      <c r="A6" s="337"/>
      <c r="B6" s="338"/>
      <c r="C6" s="333" t="s">
        <v>6</v>
      </c>
      <c r="D6" s="251"/>
      <c r="E6" s="333" t="s">
        <v>6</v>
      </c>
    </row>
    <row r="7" spans="1:13" ht="18.75" thickBot="1">
      <c r="A7" s="338"/>
      <c r="B7" s="338"/>
      <c r="C7" s="339"/>
      <c r="D7" s="201"/>
      <c r="E7" s="339"/>
    </row>
    <row r="8" spans="1:13">
      <c r="A8" s="252" t="s">
        <v>29</v>
      </c>
      <c r="B8" s="252"/>
      <c r="C8" s="12">
        <v>0</v>
      </c>
      <c r="D8" s="12"/>
      <c r="E8" s="12">
        <v>18434598</v>
      </c>
      <c r="F8" s="176"/>
      <c r="G8" s="12"/>
      <c r="H8" s="176"/>
      <c r="I8" s="12"/>
      <c r="J8" s="176"/>
      <c r="L8" s="176"/>
      <c r="M8" s="176"/>
    </row>
    <row r="9" spans="1:13">
      <c r="A9" s="252" t="s">
        <v>98</v>
      </c>
      <c r="B9" s="252"/>
      <c r="C9" s="12">
        <v>0</v>
      </c>
      <c r="D9" s="12">
        <v>27449510</v>
      </c>
      <c r="E9" s="12">
        <v>265983</v>
      </c>
      <c r="F9" s="211"/>
      <c r="G9" s="176"/>
      <c r="H9" s="176"/>
      <c r="I9" s="176"/>
      <c r="J9" s="176"/>
      <c r="K9" s="176"/>
      <c r="L9" s="176"/>
    </row>
    <row r="10" spans="1:13">
      <c r="A10" s="252" t="s">
        <v>119</v>
      </c>
      <c r="B10" s="252"/>
      <c r="C10" s="12">
        <v>0</v>
      </c>
      <c r="D10" s="12"/>
      <c r="E10" s="12">
        <v>16227227</v>
      </c>
      <c r="F10" s="211"/>
      <c r="G10" s="176"/>
      <c r="H10" s="176"/>
      <c r="I10" s="176"/>
      <c r="J10" s="176"/>
      <c r="K10" s="176"/>
      <c r="L10" s="176"/>
    </row>
    <row r="11" spans="1:13" ht="18.75" thickBot="1">
      <c r="A11" s="212" t="s">
        <v>2</v>
      </c>
      <c r="B11" s="252"/>
      <c r="C11" s="68">
        <f>SUM(C8:C10)</f>
        <v>0</v>
      </c>
      <c r="D11" s="12"/>
      <c r="E11" s="68">
        <f>SUM(E8:E10)</f>
        <v>34927808</v>
      </c>
      <c r="G11" s="176"/>
      <c r="H11" s="176"/>
      <c r="I11" s="176"/>
      <c r="J11" s="176"/>
    </row>
    <row r="12" spans="1:13" ht="18.75" thickTop="1">
      <c r="A12" s="252"/>
      <c r="D12" s="12"/>
      <c r="G12" s="176"/>
      <c r="H12" s="176"/>
      <c r="I12" s="176"/>
      <c r="J12" s="176"/>
    </row>
    <row r="13" spans="1:13">
      <c r="C13" s="213"/>
      <c r="E13" s="150"/>
    </row>
    <row r="14" spans="1:13">
      <c r="C14" s="12"/>
      <c r="E14" s="12"/>
      <c r="M14" s="213"/>
    </row>
    <row r="15" spans="1:13">
      <c r="C15" s="12"/>
      <c r="E15" s="12"/>
      <c r="M15" s="213"/>
    </row>
    <row r="16" spans="1:13">
      <c r="C16" s="150"/>
      <c r="E16" s="150"/>
    </row>
    <row r="17" spans="3:13">
      <c r="C17" s="176"/>
      <c r="E17" s="150"/>
      <c r="M17" s="213"/>
    </row>
    <row r="18" spans="3:13">
      <c r="C18" s="150"/>
      <c r="E18" s="176"/>
    </row>
    <row r="20" spans="3:13">
      <c r="C20" s="213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39"/>
  <sheetViews>
    <sheetView rightToLeft="1" view="pageBreakPreview" zoomScaleNormal="100" zoomScaleSheetLayoutView="100" workbookViewId="0">
      <selection activeCell="V10" sqref="V10"/>
    </sheetView>
  </sheetViews>
  <sheetFormatPr defaultColWidth="9.140625" defaultRowHeight="17.25"/>
  <cols>
    <col min="1" max="1" width="30.5703125" style="214" bestFit="1" customWidth="1"/>
    <col min="2" max="2" width="0.5703125" style="214" customWidth="1"/>
    <col min="3" max="3" width="15" style="214" customWidth="1"/>
    <col min="4" max="4" width="0.85546875" style="214" customWidth="1"/>
    <col min="5" max="5" width="15.28515625" style="214" bestFit="1" customWidth="1"/>
    <col min="6" max="6" width="1.140625" style="214" customWidth="1"/>
    <col min="7" max="7" width="9.42578125" style="214" bestFit="1" customWidth="1"/>
    <col min="8" max="8" width="0.5703125" style="214" customWidth="1"/>
    <col min="9" max="9" width="19.42578125" style="214" customWidth="1"/>
    <col min="10" max="10" width="1" style="214" customWidth="1"/>
    <col min="11" max="11" width="15.28515625" style="214" customWidth="1"/>
    <col min="12" max="12" width="1.140625" style="214" customWidth="1"/>
    <col min="13" max="13" width="18.28515625" style="214" customWidth="1"/>
    <col min="14" max="14" width="1" style="214" customWidth="1"/>
    <col min="15" max="15" width="19.42578125" style="214" bestFit="1" customWidth="1"/>
    <col min="16" max="16" width="1.140625" style="214" customWidth="1"/>
    <col min="17" max="17" width="16" style="214" bestFit="1" customWidth="1"/>
    <col min="18" max="18" width="1.140625" style="214" customWidth="1"/>
    <col min="19" max="19" width="21.140625" style="214" bestFit="1" customWidth="1"/>
    <col min="20" max="20" width="2.85546875" style="214" customWidth="1"/>
    <col min="21" max="21" width="10.42578125" style="214" bestFit="1" customWidth="1"/>
    <col min="22" max="22" width="32.85546875" style="214" bestFit="1" customWidth="1"/>
    <col min="23" max="23" width="12" style="214" bestFit="1" customWidth="1"/>
    <col min="24" max="24" width="9.5703125" style="214" bestFit="1" customWidth="1"/>
    <col min="25" max="16384" width="9.140625" style="214"/>
  </cols>
  <sheetData>
    <row r="1" spans="1:19" ht="22.5">
      <c r="A1" s="344" t="s">
        <v>87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2.5">
      <c r="A2" s="344" t="s">
        <v>52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2.5">
      <c r="A3" s="344" t="str">
        <f>' سهام'!$A$3</f>
        <v>برای ماه منتهی به 1403/06/31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19" ht="22.5">
      <c r="A4" s="345" t="s">
        <v>72</v>
      </c>
      <c r="B4" s="345"/>
      <c r="C4" s="345"/>
      <c r="D4" s="345"/>
      <c r="E4" s="345"/>
      <c r="F4" s="345"/>
      <c r="G4" s="345"/>
      <c r="H4" s="345"/>
      <c r="I4" s="346"/>
      <c r="J4" s="346"/>
      <c r="K4" s="346"/>
      <c r="L4" s="346"/>
      <c r="M4" s="346"/>
      <c r="N4" s="346"/>
      <c r="O4" s="346"/>
      <c r="P4" s="346"/>
      <c r="Q4" s="345"/>
      <c r="R4" s="345"/>
      <c r="S4" s="345"/>
    </row>
    <row r="6" spans="1:19" ht="18.75">
      <c r="C6" s="342" t="s">
        <v>73</v>
      </c>
      <c r="D6" s="343"/>
      <c r="E6" s="343"/>
      <c r="F6" s="343"/>
      <c r="G6" s="343"/>
      <c r="I6" s="342" t="s">
        <v>74</v>
      </c>
      <c r="J6" s="343"/>
      <c r="K6" s="343"/>
      <c r="L6" s="343"/>
      <c r="M6" s="343"/>
      <c r="O6" s="342" t="str">
        <f>اوراق!Y6</f>
        <v>1403/06/31</v>
      </c>
      <c r="P6" s="343"/>
      <c r="Q6" s="343"/>
      <c r="R6" s="343"/>
      <c r="S6" s="343"/>
    </row>
    <row r="7" spans="1:19" ht="56.25">
      <c r="A7" s="254" t="s">
        <v>75</v>
      </c>
      <c r="C7" s="215" t="s">
        <v>76</v>
      </c>
      <c r="E7" s="215" t="s">
        <v>77</v>
      </c>
      <c r="G7" s="215" t="s">
        <v>78</v>
      </c>
      <c r="I7" s="215" t="s">
        <v>79</v>
      </c>
      <c r="K7" s="215" t="s">
        <v>80</v>
      </c>
      <c r="M7" s="215" t="s">
        <v>81</v>
      </c>
      <c r="O7" s="215" t="s">
        <v>79</v>
      </c>
      <c r="Q7" s="215" t="s">
        <v>80</v>
      </c>
      <c r="S7" s="215" t="s">
        <v>81</v>
      </c>
    </row>
    <row r="8" spans="1:19" ht="18">
      <c r="A8" s="127" t="s">
        <v>94</v>
      </c>
      <c r="B8" s="127"/>
      <c r="C8" s="127" t="s">
        <v>155</v>
      </c>
      <c r="D8" s="127"/>
      <c r="E8" s="12">
        <v>0</v>
      </c>
      <c r="F8" s="127"/>
      <c r="G8" s="12">
        <v>1250</v>
      </c>
      <c r="H8" s="127"/>
      <c r="I8" s="12">
        <v>0</v>
      </c>
      <c r="J8" s="127"/>
      <c r="K8" s="12">
        <v>0</v>
      </c>
      <c r="L8" s="127"/>
      <c r="M8" s="12">
        <f>I8-K8</f>
        <v>0</v>
      </c>
      <c r="N8" s="127"/>
      <c r="O8" s="12">
        <v>1948</v>
      </c>
      <c r="P8" s="127"/>
      <c r="Q8" s="214">
        <v>0</v>
      </c>
      <c r="R8" s="127"/>
      <c r="S8" s="12">
        <f>O8+Q8</f>
        <v>1948</v>
      </c>
    </row>
    <row r="9" spans="1:19" ht="18">
      <c r="A9" s="127" t="s">
        <v>105</v>
      </c>
      <c r="B9" s="127"/>
      <c r="C9" s="127" t="s">
        <v>143</v>
      </c>
      <c r="D9" s="127"/>
      <c r="E9" s="12">
        <v>40952</v>
      </c>
      <c r="F9" s="127"/>
      <c r="G9" s="12">
        <v>3935</v>
      </c>
      <c r="H9" s="127"/>
      <c r="I9" s="12">
        <v>0</v>
      </c>
      <c r="J9" s="127"/>
      <c r="K9" s="12">
        <v>0</v>
      </c>
      <c r="L9" s="127"/>
      <c r="M9" s="12">
        <f t="shared" ref="M9:M25" si="0">I9-K9</f>
        <v>0</v>
      </c>
      <c r="N9" s="127"/>
      <c r="O9" s="12">
        <v>161146120</v>
      </c>
      <c r="P9" s="127"/>
      <c r="Q9" s="214">
        <v>0</v>
      </c>
      <c r="R9" s="127"/>
      <c r="S9" s="12">
        <f t="shared" ref="S9:S25" si="1">O9+Q9</f>
        <v>161146120</v>
      </c>
    </row>
    <row r="10" spans="1:19" ht="18">
      <c r="A10" s="127" t="s">
        <v>99</v>
      </c>
      <c r="B10" s="127"/>
      <c r="C10" s="127" t="s">
        <v>144</v>
      </c>
      <c r="D10" s="127"/>
      <c r="E10" s="12">
        <v>43844</v>
      </c>
      <c r="F10" s="127"/>
      <c r="G10" s="12">
        <v>5600</v>
      </c>
      <c r="H10" s="127"/>
      <c r="I10" s="12">
        <v>0</v>
      </c>
      <c r="J10" s="127"/>
      <c r="K10" s="12">
        <v>0</v>
      </c>
      <c r="L10" s="127"/>
      <c r="M10" s="12">
        <f t="shared" si="0"/>
        <v>0</v>
      </c>
      <c r="N10" s="127"/>
      <c r="O10" s="12">
        <v>245526400</v>
      </c>
      <c r="P10" s="127"/>
      <c r="Q10" s="214">
        <v>0</v>
      </c>
      <c r="R10" s="127"/>
      <c r="S10" s="12">
        <f t="shared" si="1"/>
        <v>245526400</v>
      </c>
    </row>
    <row r="11" spans="1:19" ht="18">
      <c r="A11" s="127" t="s">
        <v>122</v>
      </c>
      <c r="B11" s="127"/>
      <c r="C11" s="127" t="s">
        <v>145</v>
      </c>
      <c r="D11" s="127"/>
      <c r="E11" s="12">
        <v>300000</v>
      </c>
      <c r="F11" s="127"/>
      <c r="G11" s="12">
        <v>1920</v>
      </c>
      <c r="H11" s="127"/>
      <c r="I11" s="12">
        <v>0</v>
      </c>
      <c r="J11" s="127"/>
      <c r="K11" s="12">
        <v>0</v>
      </c>
      <c r="L11" s="127"/>
      <c r="M11" s="12">
        <f>I11-K11</f>
        <v>0</v>
      </c>
      <c r="N11" s="127"/>
      <c r="O11" s="12">
        <v>576000000</v>
      </c>
      <c r="P11" s="127"/>
      <c r="Q11" s="261">
        <v>-11975855</v>
      </c>
      <c r="R11" s="127"/>
      <c r="S11" s="12">
        <f t="shared" si="1"/>
        <v>564024145</v>
      </c>
    </row>
    <row r="12" spans="1:19" ht="18">
      <c r="A12" s="127" t="s">
        <v>141</v>
      </c>
      <c r="B12" s="127"/>
      <c r="C12" s="127" t="s">
        <v>146</v>
      </c>
      <c r="D12" s="127"/>
      <c r="E12" s="12">
        <v>625000</v>
      </c>
      <c r="F12" s="127"/>
      <c r="G12" s="12">
        <v>3000</v>
      </c>
      <c r="H12" s="127"/>
      <c r="I12" s="12">
        <v>0</v>
      </c>
      <c r="J12" s="127"/>
      <c r="K12" s="12">
        <v>0</v>
      </c>
      <c r="L12" s="127"/>
      <c r="M12" s="12">
        <f t="shared" si="0"/>
        <v>0</v>
      </c>
      <c r="N12" s="127"/>
      <c r="O12" s="12">
        <v>1875000000</v>
      </c>
      <c r="P12" s="127"/>
      <c r="Q12" s="214">
        <v>0</v>
      </c>
      <c r="R12" s="127"/>
      <c r="S12" s="12">
        <f t="shared" si="1"/>
        <v>1875000000</v>
      </c>
    </row>
    <row r="13" spans="1:19" ht="18">
      <c r="A13" s="240" t="s">
        <v>123</v>
      </c>
      <c r="B13" s="127"/>
      <c r="C13" s="127" t="s">
        <v>147</v>
      </c>
      <c r="D13" s="127"/>
      <c r="E13" s="12">
        <v>64886</v>
      </c>
      <c r="F13" s="127"/>
      <c r="G13" s="12">
        <v>1850</v>
      </c>
      <c r="H13" s="127"/>
      <c r="I13" s="12">
        <v>0</v>
      </c>
      <c r="J13" s="127"/>
      <c r="K13" s="12">
        <v>0</v>
      </c>
      <c r="L13" s="127"/>
      <c r="M13" s="12">
        <f t="shared" si="0"/>
        <v>0</v>
      </c>
      <c r="N13" s="127"/>
      <c r="O13" s="12">
        <v>120039100</v>
      </c>
      <c r="P13" s="127"/>
      <c r="Q13" s="214">
        <v>0</v>
      </c>
      <c r="R13" s="127"/>
      <c r="S13" s="12">
        <f t="shared" si="1"/>
        <v>120039100</v>
      </c>
    </row>
    <row r="14" spans="1:19" ht="18">
      <c r="A14" s="127" t="s">
        <v>125</v>
      </c>
      <c r="B14" s="127"/>
      <c r="C14" s="127" t="s">
        <v>147</v>
      </c>
      <c r="D14" s="127"/>
      <c r="E14" s="12">
        <v>572500</v>
      </c>
      <c r="F14" s="127"/>
      <c r="G14" s="12">
        <v>1350</v>
      </c>
      <c r="H14" s="127"/>
      <c r="I14" s="12">
        <v>0</v>
      </c>
      <c r="J14" s="127"/>
      <c r="K14" s="12">
        <v>0</v>
      </c>
      <c r="L14" s="127"/>
      <c r="M14" s="12">
        <f t="shared" si="0"/>
        <v>0</v>
      </c>
      <c r="N14" s="127"/>
      <c r="O14" s="12">
        <v>772875000</v>
      </c>
      <c r="P14" s="127"/>
      <c r="Q14" s="214">
        <v>0</v>
      </c>
      <c r="R14" s="127"/>
      <c r="S14" s="12">
        <f t="shared" si="1"/>
        <v>772875000</v>
      </c>
    </row>
    <row r="15" spans="1:19" ht="18">
      <c r="A15" s="127" t="s">
        <v>102</v>
      </c>
      <c r="B15" s="127"/>
      <c r="C15" s="127" t="s">
        <v>148</v>
      </c>
      <c r="D15" s="127"/>
      <c r="E15" s="12">
        <v>40877</v>
      </c>
      <c r="F15" s="127"/>
      <c r="G15" s="12">
        <v>4070</v>
      </c>
      <c r="H15" s="127"/>
      <c r="I15" s="12">
        <v>0</v>
      </c>
      <c r="J15" s="127"/>
      <c r="K15" s="12">
        <v>0</v>
      </c>
      <c r="L15" s="127"/>
      <c r="M15" s="12">
        <f t="shared" si="0"/>
        <v>0</v>
      </c>
      <c r="N15" s="127"/>
      <c r="O15" s="12">
        <v>166369390</v>
      </c>
      <c r="P15" s="127"/>
      <c r="Q15" s="214">
        <v>0</v>
      </c>
      <c r="R15" s="127"/>
      <c r="S15" s="12">
        <f t="shared" si="1"/>
        <v>166369390</v>
      </c>
    </row>
    <row r="16" spans="1:19" ht="18">
      <c r="A16" s="127" t="s">
        <v>110</v>
      </c>
      <c r="B16" s="127"/>
      <c r="C16" s="127" t="s">
        <v>149</v>
      </c>
      <c r="D16" s="127"/>
      <c r="E16" s="12">
        <v>337658</v>
      </c>
      <c r="F16" s="127"/>
      <c r="G16" s="12">
        <v>1060</v>
      </c>
      <c r="H16" s="127"/>
      <c r="I16" s="12">
        <v>0</v>
      </c>
      <c r="J16" s="127"/>
      <c r="K16" s="12">
        <v>0</v>
      </c>
      <c r="L16" s="127"/>
      <c r="M16" s="12">
        <f t="shared" si="0"/>
        <v>0</v>
      </c>
      <c r="N16" s="127"/>
      <c r="O16" s="12">
        <v>357917480</v>
      </c>
      <c r="P16" s="127"/>
      <c r="Q16" s="214">
        <v>0</v>
      </c>
      <c r="R16" s="127"/>
      <c r="S16" s="12">
        <f t="shared" si="1"/>
        <v>357917480</v>
      </c>
    </row>
    <row r="17" spans="1:19" ht="18">
      <c r="A17" s="127" t="s">
        <v>103</v>
      </c>
      <c r="B17" s="127"/>
      <c r="C17" s="127" t="s">
        <v>150</v>
      </c>
      <c r="D17" s="127"/>
      <c r="E17" s="12">
        <v>64355</v>
      </c>
      <c r="F17" s="127"/>
      <c r="G17" s="12">
        <v>1900</v>
      </c>
      <c r="H17" s="127"/>
      <c r="I17" s="12">
        <v>0</v>
      </c>
      <c r="J17" s="127"/>
      <c r="K17" s="12">
        <v>0</v>
      </c>
      <c r="L17" s="127"/>
      <c r="M17" s="12">
        <f t="shared" si="0"/>
        <v>0</v>
      </c>
      <c r="N17" s="127"/>
      <c r="O17" s="12">
        <v>122274500</v>
      </c>
      <c r="P17" s="127"/>
      <c r="Q17" s="214">
        <v>0</v>
      </c>
      <c r="R17" s="127"/>
      <c r="S17" s="12">
        <f t="shared" si="1"/>
        <v>122274500</v>
      </c>
    </row>
    <row r="18" spans="1:19" ht="18">
      <c r="A18" s="127" t="s">
        <v>88</v>
      </c>
      <c r="B18" s="127"/>
      <c r="C18" s="127" t="s">
        <v>139</v>
      </c>
      <c r="D18" s="127"/>
      <c r="E18" s="12">
        <v>158661</v>
      </c>
      <c r="F18" s="127"/>
      <c r="G18" s="12">
        <v>1630</v>
      </c>
      <c r="H18" s="127"/>
      <c r="I18" s="12">
        <v>0</v>
      </c>
      <c r="J18" s="127"/>
      <c r="K18" s="12">
        <v>0</v>
      </c>
      <c r="L18" s="127"/>
      <c r="M18" s="12">
        <f>I18-K18</f>
        <v>0</v>
      </c>
      <c r="N18" s="127"/>
      <c r="O18" s="12">
        <v>258617430</v>
      </c>
      <c r="P18" s="127"/>
      <c r="Q18" s="214">
        <v>0</v>
      </c>
      <c r="R18" s="127"/>
      <c r="S18" s="12">
        <f t="shared" si="1"/>
        <v>258617430</v>
      </c>
    </row>
    <row r="19" spans="1:19" ht="18">
      <c r="A19" s="127" t="s">
        <v>92</v>
      </c>
      <c r="B19" s="127"/>
      <c r="C19" s="127" t="s">
        <v>156</v>
      </c>
      <c r="D19" s="127"/>
      <c r="E19" s="12">
        <v>76199</v>
      </c>
      <c r="F19" s="127"/>
      <c r="G19" s="12">
        <v>4660</v>
      </c>
      <c r="H19" s="127"/>
      <c r="I19" s="12">
        <v>0</v>
      </c>
      <c r="J19" s="127"/>
      <c r="K19" s="12">
        <v>0</v>
      </c>
      <c r="L19" s="127"/>
      <c r="M19" s="12">
        <f t="shared" ref="M19:M21" si="2">I19-K19</f>
        <v>0</v>
      </c>
      <c r="N19" s="127"/>
      <c r="O19" s="12">
        <v>355087340</v>
      </c>
      <c r="P19" s="127"/>
      <c r="Q19" s="214">
        <v>0</v>
      </c>
      <c r="R19" s="127"/>
      <c r="S19" s="12">
        <f t="shared" si="1"/>
        <v>355087340</v>
      </c>
    </row>
    <row r="20" spans="1:19" ht="18">
      <c r="A20" s="127" t="s">
        <v>126</v>
      </c>
      <c r="B20" s="127"/>
      <c r="C20" s="127" t="s">
        <v>157</v>
      </c>
      <c r="D20" s="127"/>
      <c r="E20" s="12">
        <v>200000</v>
      </c>
      <c r="F20" s="127"/>
      <c r="G20" s="12">
        <v>250</v>
      </c>
      <c r="H20" s="127"/>
      <c r="I20" s="12">
        <v>0</v>
      </c>
      <c r="J20" s="127"/>
      <c r="K20" s="12">
        <v>0</v>
      </c>
      <c r="L20" s="127"/>
      <c r="M20" s="12">
        <f t="shared" si="2"/>
        <v>0</v>
      </c>
      <c r="N20" s="127"/>
      <c r="O20" s="12">
        <v>50000000</v>
      </c>
      <c r="P20" s="127"/>
      <c r="Q20" s="214">
        <v>0</v>
      </c>
      <c r="R20" s="127"/>
      <c r="S20" s="12">
        <f t="shared" si="1"/>
        <v>50000000</v>
      </c>
    </row>
    <row r="21" spans="1:19" ht="18">
      <c r="A21" s="127" t="s">
        <v>90</v>
      </c>
      <c r="B21" s="127"/>
      <c r="C21" s="127" t="s">
        <v>158</v>
      </c>
      <c r="D21" s="127"/>
      <c r="E21" s="12">
        <v>180232</v>
      </c>
      <c r="F21" s="127"/>
      <c r="G21" s="12">
        <v>2000</v>
      </c>
      <c r="H21" s="127"/>
      <c r="I21" s="12">
        <v>0</v>
      </c>
      <c r="J21" s="127"/>
      <c r="K21" s="12">
        <v>0</v>
      </c>
      <c r="L21" s="127"/>
      <c r="M21" s="12">
        <f t="shared" si="2"/>
        <v>0</v>
      </c>
      <c r="N21" s="127"/>
      <c r="O21" s="12">
        <v>360464000</v>
      </c>
      <c r="P21" s="127"/>
      <c r="Q21" s="214">
        <v>0</v>
      </c>
      <c r="R21" s="127"/>
      <c r="S21" s="12">
        <f t="shared" si="1"/>
        <v>360464000</v>
      </c>
    </row>
    <row r="22" spans="1:19" ht="18">
      <c r="A22" s="127" t="s">
        <v>140</v>
      </c>
      <c r="B22" s="127"/>
      <c r="C22" s="127" t="s">
        <v>159</v>
      </c>
      <c r="D22" s="127"/>
      <c r="E22" s="12">
        <v>67316</v>
      </c>
      <c r="F22" s="127"/>
      <c r="G22" s="12">
        <v>2150</v>
      </c>
      <c r="H22" s="127"/>
      <c r="I22" s="12">
        <v>0</v>
      </c>
      <c r="J22" s="127"/>
      <c r="K22" s="12">
        <v>0</v>
      </c>
      <c r="L22" s="127"/>
      <c r="M22" s="12">
        <f t="shared" si="0"/>
        <v>0</v>
      </c>
      <c r="N22" s="127"/>
      <c r="O22" s="12">
        <v>144729400</v>
      </c>
      <c r="P22" s="127"/>
      <c r="Q22" s="261">
        <v>-4327457</v>
      </c>
      <c r="R22" s="127"/>
      <c r="S22" s="12">
        <f t="shared" si="1"/>
        <v>140401943</v>
      </c>
    </row>
    <row r="23" spans="1:19" ht="18">
      <c r="A23" s="127" t="s">
        <v>95</v>
      </c>
      <c r="B23" s="127"/>
      <c r="C23" s="127" t="s">
        <v>160</v>
      </c>
      <c r="D23" s="127"/>
      <c r="E23" s="12">
        <v>773862</v>
      </c>
      <c r="F23" s="127"/>
      <c r="G23" s="12">
        <v>300</v>
      </c>
      <c r="H23" s="127"/>
      <c r="I23" s="12">
        <v>0</v>
      </c>
      <c r="J23" s="127"/>
      <c r="K23" s="12">
        <v>0</v>
      </c>
      <c r="L23" s="127"/>
      <c r="M23" s="12">
        <f t="shared" si="0"/>
        <v>0</v>
      </c>
      <c r="N23" s="127"/>
      <c r="O23" s="12">
        <v>232158600</v>
      </c>
      <c r="P23" s="127"/>
      <c r="Q23" s="214">
        <v>0</v>
      </c>
      <c r="R23" s="127"/>
      <c r="S23" s="12">
        <f t="shared" si="1"/>
        <v>232158600</v>
      </c>
    </row>
    <row r="24" spans="1:19" ht="18">
      <c r="A24" s="127" t="s">
        <v>121</v>
      </c>
      <c r="B24" s="127"/>
      <c r="C24" s="127" t="s">
        <v>160</v>
      </c>
      <c r="D24" s="127"/>
      <c r="E24" s="12">
        <v>227817</v>
      </c>
      <c r="F24" s="127"/>
      <c r="G24" s="12">
        <v>1680</v>
      </c>
      <c r="H24" s="127"/>
      <c r="I24" s="12">
        <v>0</v>
      </c>
      <c r="J24" s="127"/>
      <c r="K24" s="12">
        <v>0</v>
      </c>
      <c r="L24" s="127"/>
      <c r="M24" s="12">
        <f t="shared" si="0"/>
        <v>0</v>
      </c>
      <c r="N24" s="127"/>
      <c r="O24" s="12">
        <v>382732560</v>
      </c>
      <c r="P24" s="127"/>
      <c r="Q24" s="261">
        <v>-8960294</v>
      </c>
      <c r="R24" s="127"/>
      <c r="S24" s="12">
        <f t="shared" si="1"/>
        <v>373772266</v>
      </c>
    </row>
    <row r="25" spans="1:19" ht="18">
      <c r="A25" s="127" t="s">
        <v>91</v>
      </c>
      <c r="B25" s="127"/>
      <c r="C25" s="127" t="s">
        <v>161</v>
      </c>
      <c r="D25" s="127"/>
      <c r="E25" s="12">
        <v>208254</v>
      </c>
      <c r="F25" s="127"/>
      <c r="G25" s="12">
        <v>2920</v>
      </c>
      <c r="H25" s="127"/>
      <c r="I25" s="12">
        <v>0</v>
      </c>
      <c r="J25" s="127"/>
      <c r="K25" s="12">
        <v>0</v>
      </c>
      <c r="L25" s="127"/>
      <c r="M25" s="12">
        <f t="shared" si="0"/>
        <v>0</v>
      </c>
      <c r="N25" s="127"/>
      <c r="O25" s="12">
        <v>608101680</v>
      </c>
      <c r="P25" s="127"/>
      <c r="Q25" s="214">
        <v>0</v>
      </c>
      <c r="R25" s="127"/>
      <c r="S25" s="12">
        <f t="shared" si="1"/>
        <v>608101680</v>
      </c>
    </row>
    <row r="26" spans="1:19" ht="18.75" thickBot="1">
      <c r="A26" s="216" t="s">
        <v>82</v>
      </c>
      <c r="G26" s="23"/>
      <c r="I26" s="68">
        <f>SUM(I8:I25)</f>
        <v>0</v>
      </c>
      <c r="J26" s="216"/>
      <c r="K26" s="68">
        <f>SUM(K8:K25)</f>
        <v>0</v>
      </c>
      <c r="L26" s="216"/>
      <c r="M26" s="68">
        <f>SUM(M8:M25)</f>
        <v>0</v>
      </c>
      <c r="N26" s="216"/>
      <c r="O26" s="68">
        <f>SUM(O8:O25)</f>
        <v>6789040948</v>
      </c>
      <c r="P26" s="216"/>
      <c r="Q26" s="68">
        <f>SUM(Q8:Q25)</f>
        <v>-25263606</v>
      </c>
      <c r="R26" s="216"/>
      <c r="S26" s="68">
        <f>SUM(S8:S25)</f>
        <v>6763777342</v>
      </c>
    </row>
    <row r="27" spans="1:19" s="12" customFormat="1" ht="18.75" thickTop="1"/>
    <row r="28" spans="1:19" s="12" customFormat="1" ht="16.5" customHeight="1"/>
    <row r="29" spans="1:19" s="12" customFormat="1" ht="18"/>
    <row r="30" spans="1:19" s="12" customFormat="1" ht="18"/>
    <row r="31" spans="1:19" s="12" customFormat="1" ht="18"/>
    <row r="32" spans="1:19" s="12" customFormat="1" ht="18"/>
    <row r="33" s="12" customFormat="1" ht="18"/>
    <row r="34" s="12" customFormat="1" ht="18"/>
    <row r="35" s="12" customFormat="1" ht="18"/>
    <row r="36" s="12" customFormat="1" ht="18"/>
    <row r="37" s="12" customFormat="1" ht="18"/>
    <row r="38" s="12" customFormat="1" ht="18"/>
    <row r="39" s="12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A32"/>
  <sheetViews>
    <sheetView rightToLeft="1" view="pageBreakPreview" zoomScale="70" zoomScaleNormal="100" zoomScaleSheetLayoutView="70" workbookViewId="0">
      <selection activeCell="T17" sqref="T17"/>
    </sheetView>
  </sheetViews>
  <sheetFormatPr defaultColWidth="9.140625" defaultRowHeight="21.75"/>
  <cols>
    <col min="1" max="1" width="50.85546875" style="57" customWidth="1"/>
    <col min="2" max="2" width="15.5703125" style="57" bestFit="1" customWidth="1"/>
    <col min="3" max="3" width="0.85546875" style="57" customWidth="1"/>
    <col min="4" max="4" width="14" style="57" bestFit="1" customWidth="1"/>
    <col min="5" max="5" width="1.28515625" style="57" customWidth="1"/>
    <col min="6" max="6" width="12.42578125" style="57" customWidth="1"/>
    <col min="7" max="7" width="1" style="57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14.28515625" style="121" bestFit="1" customWidth="1"/>
    <col min="20" max="20" width="15.85546875" style="121" bestFit="1" customWidth="1"/>
    <col min="21" max="21" width="11.28515625" style="121" bestFit="1" customWidth="1"/>
    <col min="22" max="22" width="14.42578125" style="121" bestFit="1" customWidth="1"/>
    <col min="23" max="27" width="9.140625" style="121"/>
    <col min="28" max="16384" width="9.140625" style="57"/>
  </cols>
  <sheetData>
    <row r="1" spans="1:27" ht="24.75">
      <c r="A1" s="348" t="s">
        <v>87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</row>
    <row r="2" spans="1:27" ht="24.75">
      <c r="A2" s="348" t="s">
        <v>52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27" ht="24.75">
      <c r="A3" s="348" t="str">
        <f>' سهام'!$A$3</f>
        <v>برای ماه منتهی به 1403/06/31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</row>
    <row r="4" spans="1:27" ht="24.75">
      <c r="A4" s="119"/>
      <c r="B4" s="131"/>
      <c r="C4" s="131"/>
      <c r="D4" s="131"/>
      <c r="E4" s="131"/>
      <c r="F4" s="131"/>
      <c r="G4" s="131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7" ht="24.75" customHeight="1">
      <c r="A5" s="349" t="s">
        <v>152</v>
      </c>
      <c r="B5" s="349"/>
      <c r="C5" s="349"/>
      <c r="D5" s="349"/>
      <c r="E5" s="349"/>
      <c r="F5" s="349"/>
      <c r="G5" s="349"/>
      <c r="H5" s="349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27" ht="46.5" customHeight="1" thickBot="1">
      <c r="A6" s="64"/>
      <c r="B6" s="132"/>
      <c r="C6" s="132"/>
      <c r="D6" s="132"/>
      <c r="E6" s="132"/>
      <c r="F6" s="132"/>
      <c r="G6" s="133"/>
      <c r="H6" s="347" t="str">
        <f>'درآمد سرمایه گذاری در سهام '!C7</f>
        <v>طی شهریور ماه</v>
      </c>
      <c r="I6" s="347"/>
      <c r="J6" s="347"/>
      <c r="K6" s="347"/>
      <c r="L6" s="347"/>
      <c r="M6" s="20"/>
      <c r="N6" s="347" t="str">
        <f>'درآمد سرمایه گذاری در سهام '!M7</f>
        <v>از ابتدای سال مالی تا پایان شهریور ماه</v>
      </c>
      <c r="O6" s="347"/>
      <c r="P6" s="347"/>
      <c r="Q6" s="347"/>
      <c r="R6" s="347"/>
    </row>
    <row r="7" spans="1:27" ht="46.5" customHeight="1" thickBot="1">
      <c r="A7" s="66" t="s">
        <v>33</v>
      </c>
      <c r="B7" s="67" t="s">
        <v>36</v>
      </c>
      <c r="C7" s="133"/>
      <c r="D7" s="67" t="s">
        <v>20</v>
      </c>
      <c r="E7" s="133"/>
      <c r="F7" s="67" t="s">
        <v>154</v>
      </c>
      <c r="G7" s="65"/>
      <c r="H7" s="21" t="s">
        <v>53</v>
      </c>
      <c r="I7" s="120"/>
      <c r="J7" s="21" t="s">
        <v>35</v>
      </c>
      <c r="K7" s="120"/>
      <c r="L7" s="21" t="s">
        <v>37</v>
      </c>
      <c r="M7" s="20"/>
      <c r="N7" s="21" t="s">
        <v>53</v>
      </c>
      <c r="O7" s="120"/>
      <c r="P7" s="21" t="s">
        <v>35</v>
      </c>
      <c r="Q7" s="120"/>
      <c r="R7" s="21" t="s">
        <v>37</v>
      </c>
      <c r="S7" s="122"/>
      <c r="T7" s="123"/>
      <c r="U7" s="124"/>
    </row>
    <row r="8" spans="1:27" s="58" customFormat="1" ht="46.5" customHeight="1">
      <c r="A8" s="75" t="s">
        <v>86</v>
      </c>
      <c r="B8" s="12">
        <v>0</v>
      </c>
      <c r="C8" s="133"/>
      <c r="D8" s="12">
        <v>0</v>
      </c>
      <c r="E8" s="65"/>
      <c r="F8" s="12">
        <v>0</v>
      </c>
      <c r="G8" s="65"/>
      <c r="H8" s="12">
        <v>0</v>
      </c>
      <c r="I8" s="32"/>
      <c r="J8" s="32">
        <v>0</v>
      </c>
      <c r="K8" s="32"/>
      <c r="L8" s="32">
        <f>H8+J8</f>
        <v>0</v>
      </c>
      <c r="M8" s="32"/>
      <c r="N8" s="32">
        <v>0</v>
      </c>
      <c r="O8" s="32"/>
      <c r="P8" s="32">
        <v>0</v>
      </c>
      <c r="Q8" s="32"/>
      <c r="R8" s="32">
        <f>N8+P8</f>
        <v>0</v>
      </c>
      <c r="S8" s="121"/>
      <c r="T8" s="125"/>
      <c r="U8" s="121"/>
      <c r="V8" s="121"/>
      <c r="W8" s="121"/>
      <c r="X8" s="121"/>
      <c r="Y8" s="121"/>
      <c r="Z8" s="121"/>
      <c r="AA8" s="121"/>
    </row>
    <row r="9" spans="1:27" ht="46.5" customHeight="1" thickBot="1">
      <c r="A9" s="75"/>
      <c r="B9" s="32"/>
      <c r="C9" s="134"/>
      <c r="D9" s="135"/>
      <c r="E9" s="136"/>
      <c r="F9" s="137"/>
      <c r="G9" s="65"/>
      <c r="H9" s="68">
        <f>SUM(H8:H8)</f>
        <v>0</v>
      </c>
      <c r="I9" s="69"/>
      <c r="J9" s="77">
        <f>SUM(J8:J8)</f>
        <v>0</v>
      </c>
      <c r="K9" s="69"/>
      <c r="L9" s="77">
        <f>SUM(L8:L8)</f>
        <v>0</v>
      </c>
      <c r="M9" s="69"/>
      <c r="N9" s="77">
        <f>SUM(N8:N8)</f>
        <v>0</v>
      </c>
      <c r="O9" s="69"/>
      <c r="P9" s="77">
        <f>SUM(P8:P8)</f>
        <v>0</v>
      </c>
      <c r="Q9" s="78" t="e">
        <f>SUM(#REF!)</f>
        <v>#REF!</v>
      </c>
      <c r="R9" s="77">
        <f>SUM(R8:R8)</f>
        <v>0</v>
      </c>
    </row>
    <row r="10" spans="1:27" ht="47.45" customHeight="1" thickTop="1">
      <c r="B10" s="32"/>
      <c r="C10" s="134"/>
      <c r="D10" s="135"/>
      <c r="E10" s="136"/>
      <c r="F10" s="137"/>
      <c r="G10" s="65"/>
      <c r="I10" s="58"/>
      <c r="K10" s="58"/>
      <c r="M10" s="58"/>
      <c r="O10" s="58"/>
    </row>
    <row r="11" spans="1:27" ht="24">
      <c r="B11" s="65"/>
      <c r="C11" s="65"/>
      <c r="D11" s="65"/>
      <c r="E11" s="65"/>
      <c r="F11" s="65"/>
      <c r="I11" s="58"/>
      <c r="K11" s="58"/>
      <c r="M11" s="58"/>
      <c r="O11" s="58"/>
    </row>
    <row r="12" spans="1:27">
      <c r="H12" s="56"/>
      <c r="I12" s="58"/>
      <c r="K12" s="58"/>
      <c r="M12" s="58"/>
    </row>
    <row r="13" spans="1:27" s="1" customFormat="1" ht="24">
      <c r="B13" s="57"/>
      <c r="C13" s="57"/>
      <c r="D13" s="57"/>
      <c r="E13" s="57"/>
      <c r="F13" s="57"/>
      <c r="G13" s="65"/>
      <c r="H13" s="62"/>
      <c r="J13" s="63"/>
      <c r="L13" s="23"/>
      <c r="N13" s="24"/>
      <c r="P13" s="62"/>
      <c r="R13" s="12"/>
      <c r="S13" s="121"/>
      <c r="T13" s="121"/>
      <c r="U13" s="121"/>
      <c r="V13" s="121"/>
      <c r="W13" s="121"/>
      <c r="X13" s="121"/>
      <c r="Y13" s="121"/>
      <c r="Z13" s="121"/>
      <c r="AA13" s="121"/>
    </row>
    <row r="14" spans="1:27" s="1" customFormat="1" ht="24">
      <c r="B14" s="65"/>
      <c r="C14" s="65"/>
      <c r="D14" s="65"/>
      <c r="E14" s="65"/>
      <c r="F14" s="65"/>
      <c r="G14" s="65"/>
      <c r="H14" s="25"/>
      <c r="I14" s="61"/>
      <c r="J14" s="61"/>
      <c r="L14" s="23"/>
      <c r="N14" s="25"/>
      <c r="P14" s="61"/>
      <c r="R14" s="12"/>
      <c r="S14" s="121"/>
      <c r="T14" s="121"/>
      <c r="U14" s="121"/>
      <c r="V14" s="121"/>
      <c r="W14" s="121"/>
      <c r="X14" s="121"/>
      <c r="Y14" s="121"/>
      <c r="Z14" s="121"/>
      <c r="AA14" s="121"/>
    </row>
    <row r="15" spans="1:27" ht="24">
      <c r="B15" s="65"/>
      <c r="C15" s="65"/>
      <c r="D15" s="65"/>
      <c r="E15" s="65"/>
      <c r="F15" s="65"/>
      <c r="G15" s="65"/>
      <c r="H15" s="16"/>
      <c r="I15" s="58"/>
      <c r="K15" s="58"/>
      <c r="L15" s="12"/>
      <c r="N15" s="16"/>
      <c r="R15" s="12"/>
    </row>
    <row r="16" spans="1:27" ht="24">
      <c r="B16" s="65"/>
      <c r="C16" s="65"/>
      <c r="D16" s="65"/>
      <c r="E16" s="65"/>
      <c r="F16" s="65"/>
      <c r="G16" s="65"/>
      <c r="H16" s="16"/>
      <c r="K16" s="58"/>
      <c r="L16" s="12"/>
      <c r="N16" s="26"/>
      <c r="R16" s="12"/>
    </row>
    <row r="17" spans="2:21" ht="24">
      <c r="B17" s="65"/>
      <c r="C17" s="65"/>
      <c r="D17" s="65"/>
      <c r="E17" s="65"/>
      <c r="F17" s="65"/>
      <c r="G17" s="65"/>
      <c r="L17" s="12"/>
      <c r="R17" s="12"/>
    </row>
    <row r="18" spans="2:21" ht="24">
      <c r="B18" s="65"/>
      <c r="C18" s="65"/>
      <c r="D18" s="65"/>
      <c r="E18" s="65"/>
      <c r="F18" s="128"/>
      <c r="G18" s="65"/>
      <c r="L18" s="12"/>
      <c r="R18" s="12"/>
    </row>
    <row r="19" spans="2:21" ht="24">
      <c r="B19" s="65"/>
      <c r="C19" s="65"/>
      <c r="D19" s="65"/>
      <c r="E19" s="65"/>
      <c r="F19" s="129"/>
      <c r="G19" s="65"/>
      <c r="L19" s="12"/>
      <c r="R19" s="12"/>
    </row>
    <row r="20" spans="2:21" ht="24">
      <c r="B20" s="65"/>
      <c r="C20" s="65"/>
      <c r="D20" s="65"/>
      <c r="E20" s="65"/>
      <c r="F20" s="129"/>
      <c r="G20" s="65"/>
      <c r="L20" s="12"/>
      <c r="R20" s="12"/>
    </row>
    <row r="21" spans="2:21" ht="24">
      <c r="B21" s="65"/>
      <c r="C21" s="65"/>
      <c r="D21" s="65"/>
      <c r="E21" s="65"/>
      <c r="F21" s="65"/>
      <c r="G21" s="65"/>
    </row>
    <row r="22" spans="2:21" ht="24">
      <c r="B22" s="65"/>
      <c r="C22" s="65"/>
      <c r="D22" s="65"/>
      <c r="E22" s="65"/>
      <c r="F22" s="65"/>
      <c r="G22" s="65"/>
    </row>
    <row r="23" spans="2:21" ht="24">
      <c r="B23" s="65"/>
      <c r="C23" s="65"/>
      <c r="D23" s="65"/>
      <c r="E23" s="65"/>
      <c r="F23" s="65"/>
      <c r="G23" s="65"/>
    </row>
    <row r="24" spans="2:21" ht="24">
      <c r="B24" s="65"/>
      <c r="C24" s="65"/>
      <c r="D24" s="65"/>
      <c r="E24" s="65"/>
      <c r="F24" s="65"/>
      <c r="G24" s="65"/>
    </row>
    <row r="25" spans="2:21" ht="24">
      <c r="B25" s="65"/>
      <c r="C25" s="65"/>
      <c r="D25" s="65"/>
      <c r="E25" s="65"/>
      <c r="F25" s="65"/>
      <c r="G25" s="65"/>
    </row>
    <row r="26" spans="2:21" ht="24">
      <c r="B26" s="65"/>
      <c r="C26" s="65"/>
      <c r="D26" s="65"/>
      <c r="E26" s="65"/>
      <c r="F26" s="65"/>
      <c r="G26" s="65"/>
    </row>
    <row r="27" spans="2:21" ht="24">
      <c r="B27" s="65"/>
      <c r="C27" s="65"/>
      <c r="D27" s="65"/>
      <c r="E27" s="65"/>
      <c r="F27" s="65"/>
      <c r="G27" s="65"/>
    </row>
    <row r="28" spans="2:21" ht="24">
      <c r="B28" s="65"/>
      <c r="C28" s="65"/>
      <c r="D28" s="65"/>
      <c r="E28" s="65"/>
      <c r="F28" s="65"/>
    </row>
    <row r="32" spans="2:21" ht="24">
      <c r="U32" s="32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F446-E40C-4D81-8EA2-B5454A916B9E}">
  <sheetPr>
    <tabColor rgb="FF92D050"/>
    <pageSetUpPr fitToPage="1"/>
  </sheetPr>
  <dimension ref="A1:Y28"/>
  <sheetViews>
    <sheetView rightToLeft="1" view="pageBreakPreview" zoomScale="80" zoomScaleNormal="100" zoomScaleSheetLayoutView="80" workbookViewId="0">
      <selection activeCell="R23" sqref="R23"/>
    </sheetView>
  </sheetViews>
  <sheetFormatPr defaultColWidth="9.140625" defaultRowHeight="18"/>
  <cols>
    <col min="1" max="1" width="50.85546875" style="170" customWidth="1"/>
    <col min="2" max="2" width="25" style="22" bestFit="1" customWidth="1"/>
    <col min="3" max="3" width="0.85546875" style="22" customWidth="1"/>
    <col min="4" max="4" width="18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170"/>
    <col min="14" max="14" width="14.28515625" style="217" bestFit="1" customWidth="1"/>
    <col min="15" max="15" width="5.5703125" style="217" bestFit="1" customWidth="1"/>
    <col min="16" max="16" width="14.28515625" style="213" customWidth="1"/>
    <col min="17" max="17" width="12.42578125" style="213" bestFit="1" customWidth="1"/>
    <col min="18" max="18" width="14.28515625" style="213" bestFit="1" customWidth="1"/>
    <col min="19" max="19" width="9.140625" style="213"/>
    <col min="20" max="20" width="12.42578125" style="213" bestFit="1" customWidth="1"/>
    <col min="21" max="21" width="14.140625" style="213" bestFit="1" customWidth="1"/>
    <col min="22" max="25" width="9.140625" style="213"/>
    <col min="26" max="16384" width="9.140625" style="170"/>
  </cols>
  <sheetData>
    <row r="1" spans="1:25" ht="24.75">
      <c r="A1" s="281" t="s">
        <v>87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25" ht="24.75">
      <c r="A2" s="281" t="s">
        <v>52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25" ht="24.75">
      <c r="A3" s="281" t="str">
        <f>' سهام'!$A$3</f>
        <v>برای ماه منتهی به 1403/06/31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25" ht="24.75">
      <c r="A4" s="282" t="s">
        <v>61</v>
      </c>
      <c r="B4" s="282"/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5" ht="24.75" customHeight="1" thickBot="1">
      <c r="A5" s="218"/>
      <c r="B5" s="347" t="str">
        <f>'درآمد سرمایه گذاری در سهام '!C7</f>
        <v>طی شهریور ماه</v>
      </c>
      <c r="C5" s="347"/>
      <c r="D5" s="347"/>
      <c r="E5" s="347"/>
      <c r="F5" s="347"/>
      <c r="G5" s="20"/>
      <c r="H5" s="347" t="str">
        <f>'درآمد سرمایه گذاری در سهام '!M7</f>
        <v>از ابتدای سال مالی تا پایان شهریور ماه</v>
      </c>
      <c r="I5" s="347"/>
      <c r="J5" s="347"/>
      <c r="K5" s="347"/>
      <c r="L5" s="347"/>
    </row>
    <row r="6" spans="1:25" ht="46.5" customHeight="1" thickBot="1">
      <c r="A6" s="191" t="s">
        <v>33</v>
      </c>
      <c r="B6" s="21" t="s">
        <v>53</v>
      </c>
      <c r="C6" s="250"/>
      <c r="D6" s="21" t="s">
        <v>35</v>
      </c>
      <c r="E6" s="250"/>
      <c r="F6" s="21" t="s">
        <v>37</v>
      </c>
      <c r="G6" s="20"/>
      <c r="H6" s="21" t="s">
        <v>53</v>
      </c>
      <c r="I6" s="250"/>
      <c r="J6" s="21" t="s">
        <v>35</v>
      </c>
      <c r="K6" s="250"/>
      <c r="L6" s="21" t="s">
        <v>37</v>
      </c>
    </row>
    <row r="7" spans="1:25" s="153" customFormat="1" ht="46.5" customHeight="1">
      <c r="A7" s="219" t="s">
        <v>142</v>
      </c>
      <c r="B7" s="32">
        <v>4586300.5263157897</v>
      </c>
      <c r="C7" s="32"/>
      <c r="D7" s="32">
        <v>0</v>
      </c>
      <c r="E7" s="32"/>
      <c r="F7" s="32">
        <f>B7+D7</f>
        <v>4586300.5263157897</v>
      </c>
      <c r="G7" s="32"/>
      <c r="H7" s="32">
        <v>249022598.68421054</v>
      </c>
      <c r="I7" s="32"/>
      <c r="J7" s="32">
        <v>-32874</v>
      </c>
      <c r="K7" s="32"/>
      <c r="L7" s="32">
        <f>H7+J7</f>
        <v>248989724.68421054</v>
      </c>
      <c r="M7" s="150"/>
      <c r="N7" s="220"/>
      <c r="O7" s="220"/>
      <c r="P7" s="205"/>
      <c r="Q7" s="205"/>
      <c r="R7" s="205"/>
      <c r="S7" s="205"/>
      <c r="T7" s="205"/>
      <c r="U7" s="205"/>
      <c r="V7" s="205"/>
      <c r="W7" s="205"/>
      <c r="X7" s="205"/>
      <c r="Y7" s="205"/>
    </row>
    <row r="8" spans="1:25" s="153" customFormat="1" ht="46.5" customHeight="1">
      <c r="A8" s="219" t="s">
        <v>153</v>
      </c>
      <c r="B8" s="32">
        <v>145818</v>
      </c>
      <c r="C8" s="32"/>
      <c r="D8" s="32">
        <v>0</v>
      </c>
      <c r="E8" s="32"/>
      <c r="F8" s="32">
        <f t="shared" ref="F8:F9" si="0">B8+D8</f>
        <v>145818</v>
      </c>
      <c r="G8" s="32"/>
      <c r="H8" s="32">
        <v>241779244</v>
      </c>
      <c r="I8" s="32"/>
      <c r="J8" s="32">
        <v>0</v>
      </c>
      <c r="K8" s="32"/>
      <c r="L8" s="32">
        <f t="shared" ref="L8:L9" si="1">H8+J8</f>
        <v>241779244</v>
      </c>
      <c r="M8" s="150"/>
      <c r="N8" s="220"/>
      <c r="O8" s="220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5" s="153" customFormat="1" ht="46.5" customHeight="1">
      <c r="A9" s="219" t="s">
        <v>96</v>
      </c>
      <c r="B9" s="32">
        <v>1229849.4736842103</v>
      </c>
      <c r="C9" s="32"/>
      <c r="D9" s="32">
        <v>0</v>
      </c>
      <c r="E9" s="32"/>
      <c r="F9" s="32">
        <f t="shared" si="0"/>
        <v>1229849.4736842103</v>
      </c>
      <c r="G9" s="32"/>
      <c r="H9" s="32">
        <v>66543707.315789461</v>
      </c>
      <c r="I9" s="32"/>
      <c r="J9" s="32">
        <v>0</v>
      </c>
      <c r="K9" s="32"/>
      <c r="L9" s="32">
        <f t="shared" si="1"/>
        <v>66543707.315789461</v>
      </c>
      <c r="M9" s="150"/>
      <c r="N9" s="220"/>
      <c r="O9" s="220"/>
      <c r="P9" s="205"/>
      <c r="Q9" s="205"/>
      <c r="R9" s="205"/>
      <c r="S9" s="205"/>
      <c r="T9" s="205"/>
      <c r="U9" s="205"/>
      <c r="V9" s="205"/>
      <c r="W9" s="205"/>
      <c r="X9" s="205"/>
      <c r="Y9" s="205"/>
    </row>
    <row r="10" spans="1:25" ht="47.45" customHeight="1" thickBot="1">
      <c r="A10" s="219"/>
      <c r="B10" s="77">
        <f>SUM(B7:B9)</f>
        <v>5961968</v>
      </c>
      <c r="C10" s="188"/>
      <c r="D10" s="77">
        <f>SUM(D7:D9)</f>
        <v>0</v>
      </c>
      <c r="E10" s="188"/>
      <c r="F10" s="77">
        <f>SUM(F7:F9)</f>
        <v>5961968</v>
      </c>
      <c r="G10" s="188"/>
      <c r="H10" s="77">
        <f>SUM(H7:H9)</f>
        <v>557345550</v>
      </c>
      <c r="I10" s="188"/>
      <c r="J10" s="77">
        <f>SUM(J7:J9)</f>
        <v>-32874</v>
      </c>
      <c r="K10" s="78" t="e">
        <f>SUM(#REF!)</f>
        <v>#REF!</v>
      </c>
      <c r="L10" s="77">
        <f>SUM(L7:L9)</f>
        <v>557312676</v>
      </c>
    </row>
    <row r="11" spans="1:25" ht="22.5" thickTop="1">
      <c r="C11" s="153"/>
      <c r="E11" s="153"/>
      <c r="G11" s="153"/>
      <c r="I11" s="153"/>
    </row>
    <row r="12" spans="1:25" ht="21.75">
      <c r="C12" s="153"/>
      <c r="E12" s="153"/>
      <c r="G12" s="153"/>
      <c r="I12" s="153"/>
    </row>
    <row r="13" spans="1:25" s="32" customFormat="1" ht="24">
      <c r="N13" s="183"/>
      <c r="O13" s="183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5" s="32" customFormat="1" ht="24">
      <c r="N14" s="183"/>
      <c r="O14" s="183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5" spans="1:25" s="32" customFormat="1" ht="24">
      <c r="N15" s="183"/>
      <c r="O15" s="183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 s="32" customFormat="1" ht="24">
      <c r="N16" s="183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136" customFormat="1" ht="24">
      <c r="B17" s="32"/>
      <c r="D17" s="20"/>
      <c r="F17" s="32"/>
      <c r="G17" s="20"/>
      <c r="H17" s="32"/>
      <c r="I17" s="20"/>
      <c r="J17" s="20"/>
      <c r="K17" s="20"/>
      <c r="L17" s="32"/>
      <c r="N17" s="221"/>
      <c r="O17" s="221"/>
      <c r="P17" s="222"/>
      <c r="Q17" s="222"/>
      <c r="R17" s="222"/>
      <c r="S17" s="222"/>
      <c r="T17" s="222"/>
      <c r="U17" s="222"/>
      <c r="V17" s="222"/>
      <c r="W17" s="222"/>
      <c r="X17" s="222"/>
      <c r="Y17" s="222"/>
    </row>
    <row r="18" spans="1:25" s="136" customFormat="1" ht="24">
      <c r="A18" s="223"/>
      <c r="B18" s="32"/>
      <c r="C18" s="20"/>
      <c r="D18" s="32"/>
      <c r="G18" s="20"/>
      <c r="H18" s="32"/>
      <c r="I18" s="20"/>
      <c r="J18" s="20"/>
      <c r="K18" s="20"/>
      <c r="L18" s="32"/>
      <c r="N18" s="221"/>
      <c r="O18" s="221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5" s="136" customFormat="1" ht="24">
      <c r="A19" s="223"/>
      <c r="B19" s="20"/>
      <c r="C19" s="20"/>
      <c r="D19" s="32"/>
      <c r="E19" s="20"/>
      <c r="G19" s="20"/>
      <c r="H19" s="20"/>
      <c r="I19" s="20"/>
      <c r="J19" s="20"/>
      <c r="K19" s="20"/>
      <c r="L19" s="32"/>
      <c r="N19" s="221"/>
      <c r="O19" s="221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s="136" customFormat="1" ht="24">
      <c r="A20" s="223"/>
      <c r="B20" s="20"/>
      <c r="C20" s="20"/>
      <c r="D20" s="32"/>
      <c r="E20" s="20"/>
      <c r="G20" s="20"/>
      <c r="H20" s="20"/>
      <c r="I20" s="20"/>
      <c r="J20" s="20"/>
      <c r="K20" s="20"/>
      <c r="L20" s="32"/>
      <c r="N20" s="221"/>
      <c r="O20" s="221"/>
      <c r="P20" s="222"/>
      <c r="Q20" s="222"/>
      <c r="R20" s="222"/>
      <c r="S20" s="222"/>
      <c r="T20" s="222"/>
      <c r="U20" s="222"/>
      <c r="V20" s="222"/>
      <c r="W20" s="222"/>
      <c r="X20" s="222"/>
      <c r="Y20" s="222"/>
    </row>
    <row r="21" spans="1:25" s="136" customFormat="1" ht="24">
      <c r="B21" s="20"/>
      <c r="C21" s="20"/>
      <c r="D21" s="32"/>
      <c r="E21" s="20"/>
      <c r="G21" s="20"/>
      <c r="H21" s="20"/>
      <c r="I21" s="20"/>
      <c r="J21" s="20"/>
      <c r="K21" s="20"/>
      <c r="L21" s="32"/>
      <c r="N21" s="221"/>
      <c r="O21" s="221"/>
      <c r="P21" s="222"/>
      <c r="Q21" s="222"/>
      <c r="R21" s="222"/>
      <c r="S21" s="222"/>
      <c r="T21" s="222"/>
      <c r="U21" s="222"/>
      <c r="V21" s="222"/>
      <c r="W21" s="222"/>
      <c r="X21" s="222"/>
      <c r="Y21" s="222"/>
    </row>
    <row r="22" spans="1:25" s="136" customFormat="1" ht="24">
      <c r="B22" s="20"/>
      <c r="C22" s="20"/>
      <c r="D22" s="32"/>
      <c r="E22" s="20"/>
      <c r="G22" s="20"/>
      <c r="H22" s="20"/>
      <c r="I22" s="20"/>
      <c r="J22" s="20"/>
      <c r="K22" s="20"/>
      <c r="L22" s="32"/>
      <c r="N22" s="221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25" s="136" customFormat="1" ht="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21"/>
      <c r="O23" s="221"/>
      <c r="P23" s="222"/>
      <c r="Q23" s="222"/>
      <c r="R23" s="222"/>
      <c r="S23" s="222"/>
      <c r="T23" s="222"/>
      <c r="U23" s="222"/>
      <c r="V23" s="222"/>
      <c r="W23" s="222"/>
      <c r="X23" s="222"/>
      <c r="Y23" s="222"/>
    </row>
    <row r="24" spans="1:25" s="136" customFormat="1" ht="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21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</row>
    <row r="25" spans="1:25" s="136" customFormat="1" ht="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21"/>
      <c r="O25" s="221"/>
      <c r="P25" s="222"/>
      <c r="Q25" s="222"/>
      <c r="R25" s="222"/>
      <c r="S25" s="222"/>
      <c r="T25" s="222"/>
      <c r="U25" s="222"/>
      <c r="V25" s="222"/>
      <c r="W25" s="222"/>
      <c r="X25" s="222"/>
      <c r="Y25" s="222"/>
    </row>
    <row r="26" spans="1:25" s="136" customFormat="1" ht="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21"/>
      <c r="O26" s="221"/>
      <c r="P26" s="222"/>
      <c r="Q26" s="222"/>
      <c r="R26" s="222"/>
      <c r="S26" s="222"/>
      <c r="T26" s="222"/>
      <c r="U26" s="222"/>
      <c r="V26" s="222"/>
      <c r="W26" s="222"/>
      <c r="X26" s="222"/>
      <c r="Y26" s="222"/>
    </row>
    <row r="27" spans="1:25" s="136" customFormat="1" ht="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21"/>
      <c r="O27" s="221"/>
      <c r="P27" s="222"/>
      <c r="Q27" s="222"/>
      <c r="R27" s="222"/>
      <c r="S27" s="222"/>
      <c r="T27" s="222"/>
      <c r="U27" s="222"/>
      <c r="V27" s="222"/>
      <c r="W27" s="222"/>
      <c r="X27" s="222"/>
      <c r="Y27" s="222"/>
    </row>
    <row r="28" spans="1:25" s="136" customFormat="1" ht="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21"/>
      <c r="O28" s="221"/>
      <c r="P28" s="222"/>
      <c r="Q28" s="222"/>
      <c r="R28" s="222"/>
      <c r="S28" s="222"/>
      <c r="T28" s="222"/>
      <c r="U28" s="222"/>
      <c r="V28" s="222"/>
      <c r="W28" s="222"/>
      <c r="X28" s="222"/>
      <c r="Y28" s="222"/>
    </row>
  </sheetData>
  <autoFilter ref="A6:L6" xr:uid="{00000000-0009-0000-0000-000005000000}">
    <sortState xmlns:xlrd2="http://schemas.microsoft.com/office/spreadsheetml/2017/richdata2" ref="A7:L14">
      <sortCondition descending="1" ref="L6"/>
    </sortState>
  </autoFilter>
  <mergeCells count="6">
    <mergeCell ref="A1:L1"/>
    <mergeCell ref="A2:L2"/>
    <mergeCell ref="A3:L3"/>
    <mergeCell ref="A4:B4"/>
    <mergeCell ref="B5:F5"/>
    <mergeCell ref="H5:L5"/>
  </mergeCells>
  <printOptions horizontalCentered="1"/>
  <pageMargins left="0.25" right="0.25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67"/>
  <sheetViews>
    <sheetView rightToLeft="1" view="pageBreakPreview" zoomScale="90" zoomScaleNormal="100" zoomScaleSheetLayoutView="90" workbookViewId="0">
      <selection activeCell="S23" sqref="S23"/>
    </sheetView>
  </sheetViews>
  <sheetFormatPr defaultColWidth="9.140625" defaultRowHeight="17.25"/>
  <cols>
    <col min="1" max="1" width="29.7109375" style="202" customWidth="1"/>
    <col min="2" max="2" width="1.140625" style="202" customWidth="1"/>
    <col min="3" max="3" width="11.28515625" style="202" bestFit="1" customWidth="1"/>
    <col min="4" max="4" width="0.85546875" style="202" customWidth="1"/>
    <col min="5" max="5" width="20.5703125" style="17" bestFit="1" customWidth="1"/>
    <col min="6" max="6" width="0.5703125" style="17" customWidth="1"/>
    <col min="7" max="7" width="17.28515625" style="17" bestFit="1" customWidth="1"/>
    <col min="8" max="8" width="0.85546875" style="17" customWidth="1"/>
    <col min="9" max="9" width="19" style="33" bestFit="1" customWidth="1"/>
    <col min="10" max="10" width="0.5703125" style="33" customWidth="1"/>
    <col min="11" max="11" width="12.42578125" style="33" bestFit="1" customWidth="1"/>
    <col min="12" max="12" width="0.42578125" style="33" customWidth="1"/>
    <col min="13" max="13" width="20.42578125" style="33" bestFit="1" customWidth="1"/>
    <col min="14" max="14" width="0.42578125" style="33" customWidth="1"/>
    <col min="15" max="15" width="17.85546875" style="33" bestFit="1" customWidth="1"/>
    <col min="16" max="16" width="0.5703125" style="33" customWidth="1"/>
    <col min="17" max="17" width="18" style="33" customWidth="1"/>
    <col min="18" max="18" width="9.5703125" style="202" bestFit="1" customWidth="1"/>
    <col min="19" max="19" width="16.5703125" style="202" bestFit="1" customWidth="1"/>
    <col min="20" max="20" width="14.140625" style="202" customWidth="1"/>
    <col min="21" max="21" width="12.5703125" style="202" bestFit="1" customWidth="1"/>
    <col min="22" max="22" width="9.140625" style="202"/>
    <col min="23" max="23" width="9.5703125" style="202" bestFit="1" customWidth="1"/>
    <col min="24" max="25" width="12.5703125" style="202" bestFit="1" customWidth="1"/>
    <col min="26" max="16384" width="9.140625" style="202"/>
  </cols>
  <sheetData>
    <row r="1" spans="1:27" ht="22.5">
      <c r="A1" s="332" t="s">
        <v>87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27" ht="22.5">
      <c r="A2" s="332" t="s">
        <v>52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27" ht="22.5">
      <c r="A3" s="332" t="str">
        <f>' سهام'!$A$3</f>
        <v>برای ماه منتهی به 1403/06/31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7" ht="22.5">
      <c r="A4" s="354" t="s">
        <v>60</v>
      </c>
      <c r="B4" s="354"/>
      <c r="C4" s="354"/>
      <c r="D4" s="354"/>
      <c r="E4" s="354"/>
      <c r="F4" s="354"/>
      <c r="G4" s="354"/>
      <c r="H4" s="354"/>
      <c r="I4" s="354"/>
      <c r="J4" s="355"/>
      <c r="K4" s="355"/>
      <c r="L4" s="355"/>
      <c r="M4" s="355"/>
      <c r="N4" s="355"/>
      <c r="O4" s="355"/>
      <c r="P4" s="355"/>
      <c r="Q4" s="355"/>
    </row>
    <row r="5" spans="1:27" ht="20.25" customHeight="1" thickBot="1">
      <c r="A5" s="153"/>
      <c r="B5" s="153"/>
      <c r="C5" s="353" t="str">
        <f>'درآمد سرمایه گذاری در سهام '!C7</f>
        <v>طی شهریور ماه</v>
      </c>
      <c r="D5" s="353"/>
      <c r="E5" s="353"/>
      <c r="F5" s="353"/>
      <c r="G5" s="353"/>
      <c r="H5" s="353"/>
      <c r="I5" s="353"/>
      <c r="J5" s="2"/>
      <c r="K5" s="353" t="str">
        <f>'درآمد سرمایه گذاری در سهام '!M7</f>
        <v>از ابتدای سال مالی تا پایان شهریور ماه</v>
      </c>
      <c r="L5" s="353"/>
      <c r="M5" s="353"/>
      <c r="N5" s="353"/>
      <c r="O5" s="353"/>
      <c r="P5" s="353"/>
      <c r="Q5" s="353"/>
      <c r="Z5" s="214"/>
      <c r="AA5" s="214"/>
    </row>
    <row r="6" spans="1:27" ht="44.25" thickBot="1">
      <c r="A6" s="224" t="s">
        <v>33</v>
      </c>
      <c r="B6" s="224"/>
      <c r="C6" s="225" t="s">
        <v>3</v>
      </c>
      <c r="D6" s="224"/>
      <c r="E6" s="46" t="s">
        <v>41</v>
      </c>
      <c r="F6" s="47"/>
      <c r="G6" s="48" t="s">
        <v>38</v>
      </c>
      <c r="H6" s="47"/>
      <c r="I6" s="29" t="s">
        <v>42</v>
      </c>
      <c r="J6" s="2"/>
      <c r="K6" s="27" t="s">
        <v>3</v>
      </c>
      <c r="L6" s="28"/>
      <c r="M6" s="29" t="s">
        <v>18</v>
      </c>
      <c r="N6" s="28"/>
      <c r="O6" s="27" t="s">
        <v>38</v>
      </c>
      <c r="P6" s="28"/>
      <c r="Q6" s="29" t="s">
        <v>42</v>
      </c>
      <c r="Z6" s="214"/>
      <c r="AA6" s="214"/>
    </row>
    <row r="7" spans="1:27" s="226" customFormat="1" ht="21.75">
      <c r="A7" s="226" t="s">
        <v>105</v>
      </c>
      <c r="B7" s="227"/>
      <c r="C7" s="16">
        <f>IFERROR(VLOOKUP(A7,' سهام'!$A$10:$M$102,12,0),0)</f>
        <v>0</v>
      </c>
      <c r="D7" s="16"/>
      <c r="E7" s="16">
        <f>IFERROR(VLOOKUP(A7,' سهام'!$A$10:$M$101,13,0),0)</f>
        <v>0</v>
      </c>
      <c r="F7" s="16"/>
      <c r="G7" s="242">
        <v>0</v>
      </c>
      <c r="H7" s="16"/>
      <c r="I7" s="16">
        <f>E7-G7</f>
        <v>0</v>
      </c>
      <c r="J7" s="16"/>
      <c r="K7" s="16">
        <v>46180</v>
      </c>
      <c r="L7" s="16"/>
      <c r="M7" s="16">
        <v>1122218856</v>
      </c>
      <c r="N7" s="16"/>
      <c r="O7" s="242">
        <v>1057809459</v>
      </c>
      <c r="P7" s="16"/>
      <c r="Q7" s="16">
        <f>M7-O7</f>
        <v>64409397</v>
      </c>
    </row>
    <row r="8" spans="1:27" s="226" customFormat="1" ht="21.75">
      <c r="A8" s="226" t="s">
        <v>91</v>
      </c>
      <c r="B8" s="227"/>
      <c r="C8" s="16">
        <f>IFERROR(VLOOKUP(A8,' سهام'!$A$10:$M$102,12,0),0)</f>
        <v>0</v>
      </c>
      <c r="D8" s="16"/>
      <c r="E8" s="16">
        <f>IFERROR(VLOOKUP(A8,' سهام'!$A$10:$M$101,13,0),0)</f>
        <v>0</v>
      </c>
      <c r="F8" s="16"/>
      <c r="G8" s="242">
        <v>0</v>
      </c>
      <c r="H8" s="16"/>
      <c r="I8" s="16">
        <f t="shared" ref="I8:I38" si="0">E8-G8</f>
        <v>0</v>
      </c>
      <c r="J8" s="16"/>
      <c r="K8" s="16">
        <v>767369</v>
      </c>
      <c r="L8" s="16"/>
      <c r="M8" s="16">
        <v>13253217579</v>
      </c>
      <c r="N8" s="16"/>
      <c r="O8" s="242">
        <v>12848696490</v>
      </c>
      <c r="P8" s="16"/>
      <c r="Q8" s="16">
        <f t="shared" ref="Q8:Q38" si="1">M8-O8</f>
        <v>404521089</v>
      </c>
    </row>
    <row r="9" spans="1:27" s="226" customFormat="1" ht="21.75">
      <c r="A9" s="226" t="s">
        <v>95</v>
      </c>
      <c r="B9" s="227"/>
      <c r="C9" s="16">
        <f>IFERROR(VLOOKUP(A9,' سهام'!$A$10:$M$102,12,0),0)</f>
        <v>0</v>
      </c>
      <c r="D9" s="16"/>
      <c r="E9" s="16">
        <f>IFERROR(VLOOKUP(A9,' سهام'!$A$10:$M$101,13,0),0)</f>
        <v>0</v>
      </c>
      <c r="F9" s="16"/>
      <c r="G9" s="242">
        <v>0</v>
      </c>
      <c r="H9" s="16"/>
      <c r="I9" s="16">
        <f t="shared" si="0"/>
        <v>0</v>
      </c>
      <c r="J9" s="16"/>
      <c r="K9" s="16">
        <v>2688408</v>
      </c>
      <c r="L9" s="16"/>
      <c r="M9" s="16">
        <v>9285041916</v>
      </c>
      <c r="N9" s="16"/>
      <c r="O9" s="242">
        <v>10134310395</v>
      </c>
      <c r="P9" s="16"/>
      <c r="Q9" s="16">
        <f t="shared" si="1"/>
        <v>-849268479</v>
      </c>
    </row>
    <row r="10" spans="1:27" s="226" customFormat="1" ht="21.75">
      <c r="A10" s="226" t="s">
        <v>94</v>
      </c>
      <c r="B10" s="227"/>
      <c r="C10" s="16">
        <f>IFERROR(VLOOKUP(A10,' سهام'!$A$10:$M$102,12,0),0)</f>
        <v>519151</v>
      </c>
      <c r="D10" s="16"/>
      <c r="E10" s="16">
        <f>IFERROR(VLOOKUP(A10,' سهام'!$A$10:$M$101,13,0),0)</f>
        <v>3015400542</v>
      </c>
      <c r="F10" s="16"/>
      <c r="G10" s="242">
        <v>3496870637</v>
      </c>
      <c r="H10" s="16"/>
      <c r="I10" s="16">
        <f t="shared" si="0"/>
        <v>-481470095</v>
      </c>
      <c r="J10" s="16"/>
      <c r="K10" s="16">
        <v>1581361</v>
      </c>
      <c r="L10" s="16"/>
      <c r="M10" s="16">
        <v>13163013803</v>
      </c>
      <c r="N10" s="16"/>
      <c r="O10" s="242">
        <v>12938169902</v>
      </c>
      <c r="P10" s="16"/>
      <c r="Q10" s="16">
        <f t="shared" si="1"/>
        <v>224843901</v>
      </c>
    </row>
    <row r="11" spans="1:27" s="226" customFormat="1" ht="21.75">
      <c r="A11" s="226" t="s">
        <v>92</v>
      </c>
      <c r="B11" s="227"/>
      <c r="C11" s="16">
        <f>IFERROR(VLOOKUP(A11,' سهام'!$A$10:$M$102,12,0),0)</f>
        <v>76199</v>
      </c>
      <c r="D11" s="16"/>
      <c r="E11" s="16">
        <f>IFERROR(VLOOKUP(A11,' سهام'!$A$10:$M$101,13,0),0)</f>
        <v>3373756592</v>
      </c>
      <c r="F11" s="16"/>
      <c r="G11" s="242">
        <v>3376833431</v>
      </c>
      <c r="H11" s="16"/>
      <c r="I11" s="16">
        <f t="shared" si="0"/>
        <v>-3076839</v>
      </c>
      <c r="J11" s="16"/>
      <c r="K11" s="16">
        <v>318746</v>
      </c>
      <c r="L11" s="16"/>
      <c r="M11" s="16">
        <v>14581755820</v>
      </c>
      <c r="N11" s="16"/>
      <c r="O11" s="242">
        <v>14093670518</v>
      </c>
      <c r="P11" s="16"/>
      <c r="Q11" s="16">
        <f t="shared" si="1"/>
        <v>488085302</v>
      </c>
    </row>
    <row r="12" spans="1:27" s="226" customFormat="1" ht="21.75">
      <c r="A12" s="226" t="s">
        <v>88</v>
      </c>
      <c r="B12" s="227"/>
      <c r="C12" s="16">
        <f>IFERROR(VLOOKUP(A12,' سهام'!$A$10:$M$102,12,0),0)</f>
        <v>0</v>
      </c>
      <c r="D12" s="16"/>
      <c r="E12" s="16">
        <f>IFERROR(VLOOKUP(A12,' سهام'!$A$10:$M$101,13,0),0)</f>
        <v>0</v>
      </c>
      <c r="F12" s="16"/>
      <c r="G12" s="242">
        <v>0</v>
      </c>
      <c r="H12" s="16"/>
      <c r="I12" s="16">
        <f t="shared" si="0"/>
        <v>0</v>
      </c>
      <c r="J12" s="16"/>
      <c r="K12" s="16">
        <v>1039256</v>
      </c>
      <c r="L12" s="16"/>
      <c r="M12" s="16">
        <v>11799793449</v>
      </c>
      <c r="N12" s="16"/>
      <c r="O12" s="242">
        <v>10927636755</v>
      </c>
      <c r="P12" s="16"/>
      <c r="Q12" s="16">
        <f t="shared" si="1"/>
        <v>872156694</v>
      </c>
    </row>
    <row r="13" spans="1:27" s="226" customFormat="1" ht="21.75">
      <c r="A13" s="226" t="s">
        <v>102</v>
      </c>
      <c r="B13" s="227"/>
      <c r="C13" s="16">
        <f>IFERROR(VLOOKUP(A13,' سهام'!$A$10:$M$102,12,0),0)</f>
        <v>0</v>
      </c>
      <c r="D13" s="16"/>
      <c r="E13" s="16">
        <f>IFERROR(VLOOKUP(A13,' سهام'!$A$10:$M$101,13,0),0)</f>
        <v>0</v>
      </c>
      <c r="F13" s="16"/>
      <c r="G13" s="242">
        <v>0</v>
      </c>
      <c r="H13" s="16"/>
      <c r="I13" s="16">
        <f t="shared" si="0"/>
        <v>0</v>
      </c>
      <c r="J13" s="16"/>
      <c r="K13" s="16">
        <v>51632</v>
      </c>
      <c r="L13" s="16"/>
      <c r="M13" s="16">
        <v>1395221188</v>
      </c>
      <c r="N13" s="16"/>
      <c r="O13" s="242">
        <v>1119596477</v>
      </c>
      <c r="P13" s="16"/>
      <c r="Q13" s="16">
        <f t="shared" si="1"/>
        <v>275624711</v>
      </c>
    </row>
    <row r="14" spans="1:27" s="226" customFormat="1" ht="21.75">
      <c r="A14" s="226" t="s">
        <v>90</v>
      </c>
      <c r="B14" s="227"/>
      <c r="C14" s="16">
        <f>IFERROR(VLOOKUP(A14,' سهام'!$A$10:$M$102,12,0),0)</f>
        <v>0</v>
      </c>
      <c r="D14" s="16"/>
      <c r="E14" s="16">
        <f>IFERROR(VLOOKUP(A14,' سهام'!$A$10:$M$101,13,0),0)</f>
        <v>0</v>
      </c>
      <c r="F14" s="16"/>
      <c r="G14" s="242">
        <v>0</v>
      </c>
      <c r="H14" s="16"/>
      <c r="I14" s="16">
        <f t="shared" si="0"/>
        <v>0</v>
      </c>
      <c r="J14" s="16"/>
      <c r="K14" s="16">
        <v>231915</v>
      </c>
      <c r="L14" s="16"/>
      <c r="M14" s="16">
        <v>4148959528</v>
      </c>
      <c r="N14" s="16"/>
      <c r="O14" s="242">
        <v>4348959726</v>
      </c>
      <c r="P14" s="16"/>
      <c r="Q14" s="16">
        <f t="shared" si="1"/>
        <v>-200000198</v>
      </c>
    </row>
    <row r="15" spans="1:27" s="226" customFormat="1" ht="21.75">
      <c r="A15" s="226" t="s">
        <v>93</v>
      </c>
      <c r="B15" s="227"/>
      <c r="C15" s="16">
        <f>IFERROR(VLOOKUP(A15,' سهام'!$A$10:$M$102,12,0),0)</f>
        <v>0</v>
      </c>
      <c r="D15" s="16"/>
      <c r="E15" s="16">
        <f>IFERROR(VLOOKUP(A15,' سهام'!$A$10:$M$101,13,0),0)</f>
        <v>0</v>
      </c>
      <c r="F15" s="16"/>
      <c r="G15" s="242">
        <v>0</v>
      </c>
      <c r="H15" s="16"/>
      <c r="I15" s="16">
        <f t="shared" si="0"/>
        <v>0</v>
      </c>
      <c r="J15" s="16"/>
      <c r="K15" s="16">
        <v>857898</v>
      </c>
      <c r="L15" s="16"/>
      <c r="M15" s="16">
        <v>6994291923</v>
      </c>
      <c r="N15" s="16"/>
      <c r="O15" s="242">
        <v>7535818625</v>
      </c>
      <c r="P15" s="16"/>
      <c r="Q15" s="16">
        <f t="shared" si="1"/>
        <v>-541526702</v>
      </c>
    </row>
    <row r="16" spans="1:27" s="226" customFormat="1" ht="21.75">
      <c r="A16" s="226" t="s">
        <v>89</v>
      </c>
      <c r="B16" s="227"/>
      <c r="C16" s="16">
        <f>IFERROR(VLOOKUP(A16,' سهام'!$A$10:$M$102,12,0),0)</f>
        <v>0</v>
      </c>
      <c r="D16" s="16"/>
      <c r="E16" s="16">
        <f>IFERROR(VLOOKUP(A16,' سهام'!$A$10:$M$101,13,0),0)</f>
        <v>0</v>
      </c>
      <c r="F16" s="16"/>
      <c r="G16" s="242">
        <v>0</v>
      </c>
      <c r="H16" s="16"/>
      <c r="I16" s="16">
        <f t="shared" si="0"/>
        <v>0</v>
      </c>
      <c r="J16" s="16"/>
      <c r="K16" s="16">
        <v>550039</v>
      </c>
      <c r="L16" s="16"/>
      <c r="M16" s="16">
        <v>12354115059</v>
      </c>
      <c r="N16" s="16"/>
      <c r="O16" s="242">
        <v>11186837847</v>
      </c>
      <c r="P16" s="16"/>
      <c r="Q16" s="16">
        <f t="shared" si="1"/>
        <v>1167277212</v>
      </c>
    </row>
    <row r="17" spans="1:17" s="226" customFormat="1" ht="21.75">
      <c r="A17" s="226" t="s">
        <v>111</v>
      </c>
      <c r="B17" s="227"/>
      <c r="C17" s="16">
        <f>IFERROR(VLOOKUP(A17,' سهام'!$A$10:$M$102,12,0),0)</f>
        <v>0</v>
      </c>
      <c r="D17" s="16"/>
      <c r="E17" s="16">
        <f>IFERROR(VLOOKUP(A17,' سهام'!$A$10:$M$101,13,0),0)</f>
        <v>0</v>
      </c>
      <c r="F17" s="16"/>
      <c r="G17" s="242">
        <v>0</v>
      </c>
      <c r="H17" s="16"/>
      <c r="I17" s="16">
        <f t="shared" si="0"/>
        <v>0</v>
      </c>
      <c r="J17" s="16"/>
      <c r="K17" s="16">
        <v>3365860</v>
      </c>
      <c r="L17" s="16"/>
      <c r="M17" s="16">
        <v>9240050033</v>
      </c>
      <c r="N17" s="16"/>
      <c r="O17" s="242">
        <v>10425148665</v>
      </c>
      <c r="P17" s="16"/>
      <c r="Q17" s="16">
        <f t="shared" si="1"/>
        <v>-1185098632</v>
      </c>
    </row>
    <row r="18" spans="1:17" s="226" customFormat="1" ht="21.75">
      <c r="A18" s="226" t="s">
        <v>101</v>
      </c>
      <c r="B18" s="227"/>
      <c r="C18" s="16">
        <f>IFERROR(VLOOKUP(A18,' سهام'!$A$10:$M$102,12,0),0)</f>
        <v>0</v>
      </c>
      <c r="D18" s="16"/>
      <c r="E18" s="16">
        <f>IFERROR(VLOOKUP(A18,' سهام'!$A$10:$M$101,13,0),0)</f>
        <v>0</v>
      </c>
      <c r="F18" s="16"/>
      <c r="G18" s="242">
        <v>0</v>
      </c>
      <c r="H18" s="16"/>
      <c r="I18" s="16">
        <f t="shared" si="0"/>
        <v>0</v>
      </c>
      <c r="J18" s="16"/>
      <c r="K18" s="16">
        <v>397342</v>
      </c>
      <c r="L18" s="16"/>
      <c r="M18" s="16">
        <v>5619181440</v>
      </c>
      <c r="N18" s="16"/>
      <c r="O18" s="242">
        <v>5383547622</v>
      </c>
      <c r="P18" s="16"/>
      <c r="Q18" s="16">
        <f t="shared" si="1"/>
        <v>235633818</v>
      </c>
    </row>
    <row r="19" spans="1:17" s="226" customFormat="1" ht="21.75">
      <c r="A19" s="226" t="s">
        <v>103</v>
      </c>
      <c r="B19" s="227"/>
      <c r="C19" s="16">
        <f>IFERROR(VLOOKUP(A19,' سهام'!$A$10:$M$102,12,0),0)</f>
        <v>0</v>
      </c>
      <c r="D19" s="16"/>
      <c r="E19" s="16">
        <f>IFERROR(VLOOKUP(A19,' سهام'!$A$10:$M$101,13,0),0)</f>
        <v>0</v>
      </c>
      <c r="F19" s="16"/>
      <c r="G19" s="242">
        <v>0</v>
      </c>
      <c r="H19" s="16"/>
      <c r="I19" s="16">
        <f t="shared" si="0"/>
        <v>0</v>
      </c>
      <c r="J19" s="16"/>
      <c r="K19" s="16">
        <v>157022</v>
      </c>
      <c r="L19" s="16"/>
      <c r="M19" s="16">
        <v>2576720061</v>
      </c>
      <c r="N19" s="16"/>
      <c r="O19" s="242">
        <v>2274507427</v>
      </c>
      <c r="P19" s="16"/>
      <c r="Q19" s="16">
        <f t="shared" si="1"/>
        <v>302212634</v>
      </c>
    </row>
    <row r="20" spans="1:17" s="226" customFormat="1" ht="21.75">
      <c r="A20" s="226" t="s">
        <v>100</v>
      </c>
      <c r="B20" s="227"/>
      <c r="C20" s="16">
        <f>IFERROR(VLOOKUP(A20,' سهام'!$A$10:$M$102,12,0),0)</f>
        <v>0</v>
      </c>
      <c r="D20" s="16"/>
      <c r="E20" s="16">
        <f>IFERROR(VLOOKUP(A20,' سهام'!$A$10:$M$101,13,0),0)</f>
        <v>0</v>
      </c>
      <c r="F20" s="16"/>
      <c r="G20" s="242">
        <v>0</v>
      </c>
      <c r="H20" s="16"/>
      <c r="I20" s="16">
        <f t="shared" si="0"/>
        <v>0</v>
      </c>
      <c r="J20" s="16"/>
      <c r="K20" s="16">
        <v>14840979</v>
      </c>
      <c r="L20" s="16"/>
      <c r="M20" s="16">
        <v>76207760308</v>
      </c>
      <c r="N20" s="16"/>
      <c r="O20" s="242">
        <v>71388225970</v>
      </c>
      <c r="P20" s="16"/>
      <c r="Q20" s="16">
        <f t="shared" si="1"/>
        <v>4819534338</v>
      </c>
    </row>
    <row r="21" spans="1:17" s="226" customFormat="1" ht="21.75">
      <c r="A21" s="226" t="s">
        <v>106</v>
      </c>
      <c r="B21" s="227"/>
      <c r="C21" s="16">
        <f>IFERROR(VLOOKUP(A21,' سهام'!$A$10:$M$102,12,0),0)</f>
        <v>0</v>
      </c>
      <c r="D21" s="16"/>
      <c r="E21" s="16">
        <f>IFERROR(VLOOKUP(A21,' سهام'!$A$10:$M$101,13,0),0)</f>
        <v>0</v>
      </c>
      <c r="F21" s="16"/>
      <c r="G21" s="242">
        <v>0</v>
      </c>
      <c r="H21" s="16"/>
      <c r="I21" s="16">
        <f t="shared" si="0"/>
        <v>0</v>
      </c>
      <c r="J21" s="16"/>
      <c r="K21" s="16">
        <v>4559</v>
      </c>
      <c r="L21" s="16"/>
      <c r="M21" s="16">
        <v>111655142</v>
      </c>
      <c r="N21" s="16"/>
      <c r="O21" s="242">
        <v>119550839</v>
      </c>
      <c r="P21" s="16"/>
      <c r="Q21" s="16">
        <f t="shared" si="1"/>
        <v>-7895697</v>
      </c>
    </row>
    <row r="22" spans="1:17" s="226" customFormat="1" ht="21.75">
      <c r="A22" s="226" t="s">
        <v>104</v>
      </c>
      <c r="B22" s="227"/>
      <c r="C22" s="16">
        <f>IFERROR(VLOOKUP(A22,' سهام'!$A$10:$M$102,12,0),0)</f>
        <v>0</v>
      </c>
      <c r="D22" s="16"/>
      <c r="E22" s="16">
        <f>IFERROR(VLOOKUP(A22,' سهام'!$A$10:$M$101,13,0),0)</f>
        <v>0</v>
      </c>
      <c r="F22" s="16"/>
      <c r="G22" s="242">
        <v>0</v>
      </c>
      <c r="H22" s="16"/>
      <c r="I22" s="16">
        <f t="shared" si="0"/>
        <v>0</v>
      </c>
      <c r="J22" s="16"/>
      <c r="K22" s="16">
        <v>7881</v>
      </c>
      <c r="L22" s="16"/>
      <c r="M22" s="16">
        <v>722013777</v>
      </c>
      <c r="N22" s="16"/>
      <c r="O22" s="242">
        <v>627198694</v>
      </c>
      <c r="P22" s="16"/>
      <c r="Q22" s="16">
        <f t="shared" si="1"/>
        <v>94815083</v>
      </c>
    </row>
    <row r="23" spans="1:17" s="226" customFormat="1" ht="21.75">
      <c r="A23" s="226" t="s">
        <v>99</v>
      </c>
      <c r="B23" s="227"/>
      <c r="C23" s="16">
        <f>IFERROR(VLOOKUP(A23,' سهام'!$A$10:$M$102,12,0),0)</f>
        <v>33067</v>
      </c>
      <c r="D23" s="16"/>
      <c r="E23" s="16">
        <f>IFERROR(VLOOKUP(A23,' سهام'!$A$10:$M$101,13,0),0)</f>
        <v>1492355428</v>
      </c>
      <c r="F23" s="16"/>
      <c r="G23" s="242">
        <v>1031990686</v>
      </c>
      <c r="H23" s="16"/>
      <c r="I23" s="16">
        <f t="shared" si="0"/>
        <v>460364742</v>
      </c>
      <c r="J23" s="16"/>
      <c r="K23" s="16">
        <v>67388</v>
      </c>
      <c r="L23" s="16"/>
      <c r="M23" s="16">
        <v>2576740952</v>
      </c>
      <c r="N23" s="16"/>
      <c r="O23" s="242">
        <v>2035645151</v>
      </c>
      <c r="P23" s="16"/>
      <c r="Q23" s="16">
        <f t="shared" si="1"/>
        <v>541095801</v>
      </c>
    </row>
    <row r="24" spans="1:17" s="226" customFormat="1" ht="21.75">
      <c r="A24" s="226" t="s">
        <v>107</v>
      </c>
      <c r="B24" s="227"/>
      <c r="C24" s="16">
        <f>IFERROR(VLOOKUP(A24,' سهام'!$A$10:$M$102,12,0),0)</f>
        <v>0</v>
      </c>
      <c r="D24" s="16"/>
      <c r="E24" s="16">
        <f>IFERROR(VLOOKUP(A24,' سهام'!$A$10:$M$101,13,0),0)</f>
        <v>0</v>
      </c>
      <c r="F24" s="16"/>
      <c r="G24" s="242">
        <v>0</v>
      </c>
      <c r="H24" s="16"/>
      <c r="I24" s="16">
        <f t="shared" si="0"/>
        <v>0</v>
      </c>
      <c r="J24" s="16"/>
      <c r="K24" s="16">
        <v>5650000</v>
      </c>
      <c r="L24" s="16"/>
      <c r="M24" s="16">
        <v>30879904020</v>
      </c>
      <c r="N24" s="16"/>
      <c r="O24" s="242">
        <v>30272301675</v>
      </c>
      <c r="P24" s="16"/>
      <c r="Q24" s="16">
        <f t="shared" si="1"/>
        <v>607602345</v>
      </c>
    </row>
    <row r="25" spans="1:17" s="226" customFormat="1" ht="21.75">
      <c r="A25" s="226" t="s">
        <v>110</v>
      </c>
      <c r="B25" s="227"/>
      <c r="C25" s="16">
        <f>IFERROR(VLOOKUP(A25,' سهام'!$A$10:$M$102,12,0),0)</f>
        <v>0</v>
      </c>
      <c r="D25" s="16"/>
      <c r="E25" s="16">
        <f>IFERROR(VLOOKUP(A25,' سهام'!$A$10:$M$101,13,0),0)</f>
        <v>0</v>
      </c>
      <c r="F25" s="16"/>
      <c r="G25" s="242">
        <v>0</v>
      </c>
      <c r="H25" s="16"/>
      <c r="I25" s="16">
        <f t="shared" si="0"/>
        <v>0</v>
      </c>
      <c r="J25" s="16"/>
      <c r="K25" s="16">
        <v>387330</v>
      </c>
      <c r="L25" s="16"/>
      <c r="M25" s="16">
        <v>3399842917</v>
      </c>
      <c r="N25" s="16"/>
      <c r="O25" s="242">
        <v>3137902249</v>
      </c>
      <c r="P25" s="16"/>
      <c r="Q25" s="16">
        <f t="shared" si="1"/>
        <v>261940668</v>
      </c>
    </row>
    <row r="26" spans="1:17" s="226" customFormat="1" ht="21.75">
      <c r="A26" s="226" t="s">
        <v>121</v>
      </c>
      <c r="B26" s="227"/>
      <c r="C26" s="16">
        <f>IFERROR(VLOOKUP(A26,' سهام'!$A$10:$M$102,12,0),0)</f>
        <v>39563</v>
      </c>
      <c r="D26" s="16"/>
      <c r="E26" s="16">
        <f>IFERROR(VLOOKUP(A26,' سهام'!$A$10:$M$101,13,0),0)</f>
        <v>441540509</v>
      </c>
      <c r="F26" s="16"/>
      <c r="G26" s="242">
        <v>514419661</v>
      </c>
      <c r="H26" s="16"/>
      <c r="I26" s="16">
        <f t="shared" si="0"/>
        <v>-72879152</v>
      </c>
      <c r="J26" s="16"/>
      <c r="K26" s="16">
        <v>180289</v>
      </c>
      <c r="L26" s="16"/>
      <c r="M26" s="16">
        <v>2216466620</v>
      </c>
      <c r="N26" s="16"/>
      <c r="O26" s="242">
        <v>2347081816</v>
      </c>
      <c r="P26" s="16"/>
      <c r="Q26" s="16">
        <f t="shared" si="1"/>
        <v>-130615196</v>
      </c>
    </row>
    <row r="27" spans="1:17" s="226" customFormat="1" ht="21.75">
      <c r="A27" s="226" t="s">
        <v>124</v>
      </c>
      <c r="B27" s="227"/>
      <c r="C27" s="16">
        <f>IFERROR(VLOOKUP(A27,' سهام'!$A$10:$M$102,12,0),0)</f>
        <v>0</v>
      </c>
      <c r="D27" s="16"/>
      <c r="E27" s="16">
        <f>IFERROR(VLOOKUP(A27,' سهام'!$A$10:$M$101,13,0),0)</f>
        <v>0</v>
      </c>
      <c r="F27" s="16"/>
      <c r="G27" s="242">
        <v>0</v>
      </c>
      <c r="H27" s="16"/>
      <c r="I27" s="16">
        <f t="shared" si="0"/>
        <v>0</v>
      </c>
      <c r="J27" s="16"/>
      <c r="K27" s="16">
        <v>3230054</v>
      </c>
      <c r="L27" s="16"/>
      <c r="M27" s="16">
        <v>3502911920</v>
      </c>
      <c r="N27" s="16"/>
      <c r="O27" s="242">
        <v>3886861033</v>
      </c>
      <c r="P27" s="16"/>
      <c r="Q27" s="16">
        <f t="shared" si="1"/>
        <v>-383949113</v>
      </c>
    </row>
    <row r="28" spans="1:17" s="226" customFormat="1" ht="21.75">
      <c r="A28" s="226" t="s">
        <v>126</v>
      </c>
      <c r="B28" s="227"/>
      <c r="C28" s="16">
        <f>IFERROR(VLOOKUP(A28,' سهام'!$A$10:$M$102,12,0),0)</f>
        <v>0</v>
      </c>
      <c r="D28" s="16"/>
      <c r="E28" s="16">
        <f>IFERROR(VLOOKUP(A28,' سهام'!$A$10:$M$101,13,0),0)</f>
        <v>0</v>
      </c>
      <c r="F28" s="16"/>
      <c r="G28" s="242">
        <v>0</v>
      </c>
      <c r="H28" s="16"/>
      <c r="I28" s="16">
        <f t="shared" si="0"/>
        <v>0</v>
      </c>
      <c r="J28" s="16"/>
      <c r="K28" s="16">
        <v>200000</v>
      </c>
      <c r="L28" s="16"/>
      <c r="M28" s="16">
        <v>2401624842</v>
      </c>
      <c r="N28" s="16"/>
      <c r="O28" s="242">
        <v>1691534520</v>
      </c>
      <c r="P28" s="16"/>
      <c r="Q28" s="16">
        <f t="shared" si="1"/>
        <v>710090322</v>
      </c>
    </row>
    <row r="29" spans="1:17" s="226" customFormat="1" ht="21.75">
      <c r="A29" s="226" t="s">
        <v>122</v>
      </c>
      <c r="B29" s="227"/>
      <c r="C29" s="16">
        <f>IFERROR(VLOOKUP(A29,' سهام'!$A$10:$M$102,12,0),0)</f>
        <v>0</v>
      </c>
      <c r="D29" s="16"/>
      <c r="E29" s="16">
        <f>IFERROR(VLOOKUP(A29,' سهام'!$A$10:$M$101,13,0),0)</f>
        <v>0</v>
      </c>
      <c r="F29" s="16"/>
      <c r="G29" s="242">
        <v>0</v>
      </c>
      <c r="H29" s="16"/>
      <c r="I29" s="16">
        <f t="shared" si="0"/>
        <v>0</v>
      </c>
      <c r="J29" s="16"/>
      <c r="K29" s="16">
        <v>600000</v>
      </c>
      <c r="L29" s="16"/>
      <c r="M29" s="16">
        <v>14514620253</v>
      </c>
      <c r="N29" s="16"/>
      <c r="O29" s="242">
        <v>12411259200</v>
      </c>
      <c r="P29" s="16"/>
      <c r="Q29" s="16">
        <f t="shared" si="1"/>
        <v>2103361053</v>
      </c>
    </row>
    <row r="30" spans="1:17" s="226" customFormat="1" ht="21.75">
      <c r="A30" s="226" t="s">
        <v>125</v>
      </c>
      <c r="B30" s="227"/>
      <c r="C30" s="16">
        <f>IFERROR(VLOOKUP(A30,' سهام'!$A$10:$M$102,12,0),0)</f>
        <v>0</v>
      </c>
      <c r="D30" s="16"/>
      <c r="E30" s="16">
        <f>IFERROR(VLOOKUP(A30,' سهام'!$A$10:$M$101,13,0),0)</f>
        <v>0</v>
      </c>
      <c r="F30" s="16"/>
      <c r="G30" s="242">
        <v>0</v>
      </c>
      <c r="H30" s="16"/>
      <c r="I30" s="16">
        <f t="shared" si="0"/>
        <v>0</v>
      </c>
      <c r="J30" s="16"/>
      <c r="K30" s="16">
        <v>114500</v>
      </c>
      <c r="L30" s="16"/>
      <c r="M30" s="16">
        <v>9197157308</v>
      </c>
      <c r="N30" s="16"/>
      <c r="O30" s="242">
        <v>7563861753</v>
      </c>
      <c r="P30" s="16"/>
      <c r="Q30" s="16">
        <f t="shared" si="1"/>
        <v>1633295555</v>
      </c>
    </row>
    <row r="31" spans="1:17" s="226" customFormat="1" ht="21.75">
      <c r="A31" s="226" t="s">
        <v>123</v>
      </c>
      <c r="B31" s="227"/>
      <c r="C31" s="16">
        <f>IFERROR(VLOOKUP(A31,' سهام'!$A$10:$M$102,12,0),0)</f>
        <v>0</v>
      </c>
      <c r="D31" s="16"/>
      <c r="E31" s="16">
        <f>IFERROR(VLOOKUP(A31,' سهام'!$A$10:$M$101,13,0),0)</f>
        <v>0</v>
      </c>
      <c r="F31" s="16"/>
      <c r="G31" s="242">
        <v>0</v>
      </c>
      <c r="H31" s="16"/>
      <c r="I31" s="16">
        <f t="shared" si="0"/>
        <v>0</v>
      </c>
      <c r="J31" s="16"/>
      <c r="K31" s="16">
        <v>7426</v>
      </c>
      <c r="L31" s="16"/>
      <c r="M31" s="16">
        <v>158738837</v>
      </c>
      <c r="N31" s="16"/>
      <c r="O31" s="242">
        <v>128331099</v>
      </c>
      <c r="P31" s="16"/>
      <c r="Q31" s="16">
        <f t="shared" si="1"/>
        <v>30407738</v>
      </c>
    </row>
    <row r="32" spans="1:17" s="226" customFormat="1" ht="21.75">
      <c r="A32" s="226" t="s">
        <v>140</v>
      </c>
      <c r="B32" s="227"/>
      <c r="C32" s="16">
        <f>IFERROR(VLOOKUP(A32,' سهام'!$A$10:$M$102,12,0),0)</f>
        <v>0</v>
      </c>
      <c r="D32" s="16"/>
      <c r="E32" s="16">
        <f>IFERROR(VLOOKUP(A32,' سهام'!$A$10:$M$101,13,0),0)</f>
        <v>0</v>
      </c>
      <c r="F32" s="16"/>
      <c r="G32" s="242">
        <v>0</v>
      </c>
      <c r="H32" s="16"/>
      <c r="I32" s="16">
        <f t="shared" si="0"/>
        <v>0</v>
      </c>
      <c r="J32" s="16"/>
      <c r="K32" s="16">
        <v>9401</v>
      </c>
      <c r="L32" s="16"/>
      <c r="M32" s="16">
        <v>175530235</v>
      </c>
      <c r="N32" s="16"/>
      <c r="O32" s="242">
        <v>182673364</v>
      </c>
      <c r="P32" s="16"/>
      <c r="Q32" s="16">
        <f t="shared" si="1"/>
        <v>-7143129</v>
      </c>
    </row>
    <row r="33" spans="1:19" s="226" customFormat="1" ht="21.75">
      <c r="A33" s="226" t="s">
        <v>141</v>
      </c>
      <c r="B33" s="227"/>
      <c r="C33" s="16">
        <f>IFERROR(VLOOKUP(A33,' سهام'!$A$10:$M$102,12,0),0)</f>
        <v>271500</v>
      </c>
      <c r="D33" s="16"/>
      <c r="E33" s="16">
        <f>IFERROR(VLOOKUP(A33,' سهام'!$A$10:$M$101,13,0),0)</f>
        <v>3112860059</v>
      </c>
      <c r="F33" s="16"/>
      <c r="G33" s="242">
        <v>2771814525</v>
      </c>
      <c r="H33" s="16"/>
      <c r="I33" s="16">
        <f t="shared" si="0"/>
        <v>341045534</v>
      </c>
      <c r="J33" s="16"/>
      <c r="K33" s="16">
        <v>625000</v>
      </c>
      <c r="L33" s="16"/>
      <c r="M33" s="16">
        <v>6697099124</v>
      </c>
      <c r="N33" s="16"/>
      <c r="O33" s="242">
        <v>6380788500</v>
      </c>
      <c r="P33" s="16"/>
      <c r="Q33" s="16">
        <f t="shared" si="1"/>
        <v>316310624</v>
      </c>
    </row>
    <row r="34" spans="1:19" s="226" customFormat="1" ht="21.75">
      <c r="A34" s="226" t="s">
        <v>151</v>
      </c>
      <c r="B34" s="227"/>
      <c r="C34" s="16">
        <f>IFERROR(VLOOKUP(A34,' سهام'!$A$10:$M$102,12,0),0)</f>
        <v>0</v>
      </c>
      <c r="D34" s="16"/>
      <c r="E34" s="16">
        <f>IFERROR(VLOOKUP(A34,' سهام'!$A$10:$M$101,13,0),0)</f>
        <v>0</v>
      </c>
      <c r="F34" s="16"/>
      <c r="G34" s="242">
        <v>0</v>
      </c>
      <c r="H34" s="16"/>
      <c r="I34" s="16">
        <f t="shared" si="0"/>
        <v>0</v>
      </c>
      <c r="J34" s="16"/>
      <c r="K34" s="16">
        <v>29443</v>
      </c>
      <c r="L34" s="16"/>
      <c r="M34" s="16">
        <v>194822669</v>
      </c>
      <c r="N34" s="16"/>
      <c r="O34" s="242">
        <v>320949162</v>
      </c>
      <c r="P34" s="16"/>
      <c r="Q34" s="16">
        <f t="shared" si="1"/>
        <v>-126126493</v>
      </c>
    </row>
    <row r="35" spans="1:19" s="226" customFormat="1" ht="21.75">
      <c r="A35" s="226" t="s">
        <v>108</v>
      </c>
      <c r="B35" s="227"/>
      <c r="C35" s="16">
        <f>IFERROR(VLOOKUP(A35,اوراق!$A$9:$W$48,22,0),0)</f>
        <v>0</v>
      </c>
      <c r="D35" s="16"/>
      <c r="E35" s="16">
        <f>IFERROR(VLOOKUP(A35,اوراق!$A$9:$AG$48,23,0),0)</f>
        <v>0</v>
      </c>
      <c r="F35" s="16"/>
      <c r="G35" s="242">
        <v>0</v>
      </c>
      <c r="H35" s="16"/>
      <c r="I35" s="16">
        <f t="shared" si="0"/>
        <v>0</v>
      </c>
      <c r="J35" s="16"/>
      <c r="K35" s="16">
        <v>6500</v>
      </c>
      <c r="L35" s="16"/>
      <c r="M35" s="16">
        <v>4649416185</v>
      </c>
      <c r="N35" s="16"/>
      <c r="O35" s="242">
        <v>4511808615</v>
      </c>
      <c r="P35" s="16"/>
      <c r="Q35" s="16">
        <f t="shared" si="1"/>
        <v>137607570</v>
      </c>
    </row>
    <row r="36" spans="1:19" s="226" customFormat="1" ht="21.75">
      <c r="A36" s="226" t="s">
        <v>112</v>
      </c>
      <c r="B36" s="227"/>
      <c r="C36" s="16">
        <f>IFERROR(VLOOKUP(A36,اوراق!$A$9:$W$48,22,0),0)</f>
        <v>0</v>
      </c>
      <c r="D36" s="16"/>
      <c r="E36" s="16">
        <f>IFERROR(VLOOKUP(A36,اوراق!$A$9:$AG$48,23,0),0)</f>
        <v>0</v>
      </c>
      <c r="F36" s="16"/>
      <c r="G36" s="242">
        <v>0</v>
      </c>
      <c r="H36" s="16"/>
      <c r="I36" s="16">
        <f t="shared" si="0"/>
        <v>0</v>
      </c>
      <c r="J36" s="16"/>
      <c r="K36" s="16">
        <v>16180</v>
      </c>
      <c r="L36" s="16"/>
      <c r="M36" s="16">
        <v>11040760315</v>
      </c>
      <c r="N36" s="16"/>
      <c r="O36" s="242">
        <v>10907167015</v>
      </c>
      <c r="P36" s="16"/>
      <c r="Q36" s="16">
        <f t="shared" si="1"/>
        <v>133593300</v>
      </c>
    </row>
    <row r="37" spans="1:19" s="226" customFormat="1" ht="21.75">
      <c r="A37" s="226" t="s">
        <v>113</v>
      </c>
      <c r="B37" s="227"/>
      <c r="C37" s="16">
        <f>IFERROR(VLOOKUP(A37,اوراق!$A$9:$W$48,22,0),0)</f>
        <v>0</v>
      </c>
      <c r="D37" s="16"/>
      <c r="E37" s="16">
        <f>IFERROR(VLOOKUP(A37,اوراق!$A$9:$AG$48,23,0),0)</f>
        <v>0</v>
      </c>
      <c r="F37" s="16"/>
      <c r="G37" s="242">
        <v>0</v>
      </c>
      <c r="H37" s="16"/>
      <c r="I37" s="16">
        <f t="shared" si="0"/>
        <v>0</v>
      </c>
      <c r="J37" s="16"/>
      <c r="K37" s="16">
        <v>29100</v>
      </c>
      <c r="L37" s="16"/>
      <c r="M37" s="16">
        <v>19465077430</v>
      </c>
      <c r="N37" s="16"/>
      <c r="O37" s="242">
        <v>18932887958</v>
      </c>
      <c r="P37" s="16"/>
      <c r="Q37" s="16">
        <f t="shared" si="1"/>
        <v>532189472</v>
      </c>
    </row>
    <row r="38" spans="1:19" s="226" customFormat="1" ht="21.75">
      <c r="A38" s="226" t="s">
        <v>114</v>
      </c>
      <c r="B38" s="227"/>
      <c r="C38" s="16">
        <f>IFERROR(VLOOKUP(A38,اوراق!$A$9:$W$48,22,0),0)</f>
        <v>0</v>
      </c>
      <c r="D38" s="16"/>
      <c r="E38" s="16">
        <f>IFERROR(VLOOKUP(A38,اوراق!$A$9:$AG$48,23,0),0)</f>
        <v>0</v>
      </c>
      <c r="F38" s="16"/>
      <c r="G38" s="242">
        <v>0</v>
      </c>
      <c r="H38" s="16"/>
      <c r="I38" s="16">
        <f t="shared" si="0"/>
        <v>0</v>
      </c>
      <c r="J38" s="16"/>
      <c r="K38" s="16">
        <v>16010</v>
      </c>
      <c r="L38" s="16"/>
      <c r="M38" s="16">
        <v>8670088264</v>
      </c>
      <c r="N38" s="16"/>
      <c r="O38" s="242">
        <v>8782863138</v>
      </c>
      <c r="P38" s="16"/>
      <c r="Q38" s="16">
        <f t="shared" si="1"/>
        <v>-112774874</v>
      </c>
    </row>
    <row r="39" spans="1:19" ht="22.5" thickBot="1">
      <c r="A39" s="55" t="s">
        <v>2</v>
      </c>
      <c r="B39" s="55"/>
      <c r="C39" s="55"/>
      <c r="E39" s="76">
        <f>SUM(E7:E38)</f>
        <v>11435913130</v>
      </c>
      <c r="F39" s="16"/>
      <c r="G39" s="76">
        <f>SUM(G7:G38)</f>
        <v>11191928940</v>
      </c>
      <c r="H39" s="16"/>
      <c r="I39" s="76">
        <f>SUM(I7:I38)</f>
        <v>243984190</v>
      </c>
      <c r="J39" s="73"/>
      <c r="K39" s="262"/>
      <c r="L39" s="263"/>
      <c r="M39" s="76">
        <f>SUM(M7:M38)</f>
        <v>302315811773</v>
      </c>
      <c r="N39" s="16"/>
      <c r="O39" s="76">
        <f>SUM(O7:O38)</f>
        <v>289903601659</v>
      </c>
      <c r="P39" s="16"/>
      <c r="Q39" s="76">
        <f>SUM(Q7:Q38)</f>
        <v>12412210114</v>
      </c>
    </row>
    <row r="40" spans="1:19" ht="23.25" thickTop="1">
      <c r="E40" s="49"/>
      <c r="F40" s="202"/>
      <c r="G40" s="49"/>
      <c r="H40" s="49"/>
      <c r="I40" s="49"/>
      <c r="J40" s="202"/>
      <c r="K40" s="202"/>
      <c r="L40" s="202"/>
      <c r="M40" s="51"/>
      <c r="N40" s="202"/>
      <c r="O40" s="51"/>
      <c r="P40" s="202"/>
      <c r="Q40" s="51"/>
    </row>
    <row r="41" spans="1:19" ht="22.5">
      <c r="E41" s="49"/>
      <c r="F41" s="202"/>
      <c r="G41" s="49"/>
      <c r="H41" s="202"/>
      <c r="I41" s="49"/>
      <c r="J41" s="202"/>
      <c r="K41" s="202"/>
      <c r="L41" s="202"/>
      <c r="M41" s="49"/>
      <c r="N41" s="202"/>
      <c r="O41" s="49"/>
      <c r="P41" s="202"/>
      <c r="Q41" s="49"/>
      <c r="S41" s="231"/>
    </row>
    <row r="42" spans="1:19" ht="10.5" customHeight="1">
      <c r="A42" s="153"/>
      <c r="B42" s="153"/>
      <c r="C42" s="153"/>
      <c r="D42" s="153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</row>
    <row r="43" spans="1:19" ht="21.75">
      <c r="A43" s="350" t="s">
        <v>40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2"/>
      <c r="S43" s="214"/>
    </row>
    <row r="44" spans="1:19" ht="6" customHeight="1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</row>
    <row r="45" spans="1:19" s="16" customFormat="1" ht="18" customHeight="1"/>
    <row r="46" spans="1:19" s="16" customFormat="1" ht="18" customHeight="1"/>
    <row r="47" spans="1:19" s="16" customFormat="1" ht="18" customHeight="1">
      <c r="I47" s="264"/>
      <c r="Q47" s="264"/>
    </row>
    <row r="48" spans="1:19" s="16" customFormat="1" ht="18" customHeight="1">
      <c r="I48" s="264"/>
      <c r="Q48" s="264"/>
    </row>
    <row r="49" spans="3:20" s="16" customFormat="1" ht="18" customHeight="1">
      <c r="I49" s="264"/>
      <c r="Q49" s="264"/>
    </row>
    <row r="50" spans="3:20" s="16" customFormat="1" ht="18" customHeight="1">
      <c r="I50" s="264"/>
      <c r="Q50" s="264"/>
    </row>
    <row r="51" spans="3:20" s="16" customFormat="1" ht="18" customHeight="1"/>
    <row r="52" spans="3:20" s="16" customFormat="1" ht="21.75"/>
    <row r="53" spans="3:20" s="16" customFormat="1" ht="21.75"/>
    <row r="54" spans="3:20" s="16" customFormat="1" ht="21.75"/>
    <row r="55" spans="3:20" s="16" customFormat="1" ht="21.75"/>
    <row r="56" spans="3:20" s="16" customFormat="1" ht="21.75"/>
    <row r="57" spans="3:20" ht="27">
      <c r="C57" s="229"/>
      <c r="F57" s="202"/>
      <c r="G57" s="202"/>
      <c r="H57" s="202"/>
      <c r="I57" s="229"/>
      <c r="J57" s="202"/>
      <c r="K57" s="229"/>
      <c r="L57" s="202"/>
      <c r="M57" s="230"/>
      <c r="N57" s="202"/>
      <c r="O57" s="202"/>
      <c r="P57" s="202"/>
      <c r="Q57" s="34"/>
    </row>
    <row r="58" spans="3:20" s="34" customFormat="1" ht="24"/>
    <row r="59" spans="3:20" s="34" customFormat="1" ht="27">
      <c r="E59" s="178"/>
    </row>
    <row r="60" spans="3:20" s="34" customFormat="1" ht="24">
      <c r="E60" s="231"/>
    </row>
    <row r="61" spans="3:20" s="34" customFormat="1" ht="24">
      <c r="E61" s="231"/>
      <c r="R61" s="150"/>
    </row>
    <row r="62" spans="3:20" s="34" customFormat="1" ht="24">
      <c r="R62" s="150"/>
      <c r="T62" s="231"/>
    </row>
    <row r="63" spans="3:20" s="34" customFormat="1" ht="24">
      <c r="R63" s="150"/>
      <c r="T63" s="231"/>
    </row>
    <row r="64" spans="3:20" ht="24">
      <c r="E64" s="202"/>
      <c r="F64" s="202"/>
      <c r="G64" s="34"/>
      <c r="H64" s="34"/>
      <c r="I64" s="34"/>
      <c r="J64" s="34"/>
      <c r="K64" s="34"/>
      <c r="L64" s="34"/>
      <c r="M64" s="34"/>
      <c r="N64" s="202"/>
      <c r="O64" s="202"/>
      <c r="P64" s="202"/>
      <c r="Q64" s="231"/>
      <c r="R64" s="150"/>
      <c r="T64" s="231"/>
    </row>
    <row r="65" spans="7:20" ht="24">
      <c r="G65" s="34"/>
      <c r="H65" s="34"/>
      <c r="I65" s="34"/>
      <c r="J65" s="34"/>
      <c r="K65" s="34"/>
      <c r="L65" s="34"/>
      <c r="M65" s="34"/>
      <c r="Q65" s="231"/>
      <c r="R65" s="150"/>
    </row>
    <row r="66" spans="7:20" ht="24">
      <c r="G66" s="34"/>
      <c r="H66" s="34"/>
      <c r="I66" s="34"/>
      <c r="J66" s="34"/>
      <c r="K66" s="34"/>
      <c r="L66" s="34"/>
      <c r="M66" s="34"/>
      <c r="Q66" s="231"/>
      <c r="R66" s="214"/>
      <c r="T66" s="214"/>
    </row>
    <row r="67" spans="7:20" ht="24">
      <c r="I67" s="231"/>
      <c r="Q67" s="34"/>
      <c r="R67" s="232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60">
    <sortCondition descending="1" ref="T6:T60"/>
  </sortState>
  <mergeCells count="8">
    <mergeCell ref="A1:Q1"/>
    <mergeCell ref="A2:Q2"/>
    <mergeCell ref="A3:Q3"/>
    <mergeCell ref="A43:Q4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82" fitToHeight="0" orientation="landscape" r:id="rId1"/>
  <rowBreaks count="1" manualBreakCount="1">
    <brk id="4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AB57"/>
  <sheetViews>
    <sheetView rightToLeft="1" view="pageBreakPreview" zoomScale="80" zoomScaleNormal="100" zoomScaleSheetLayoutView="80" workbookViewId="0">
      <selection activeCell="U16" sqref="U16"/>
    </sheetView>
  </sheetViews>
  <sheetFormatPr defaultColWidth="9.140625" defaultRowHeight="21.75"/>
  <cols>
    <col min="1" max="1" width="35.28515625" style="202" bestFit="1" customWidth="1"/>
    <col min="2" max="2" width="0.5703125" style="202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5.42578125" style="202" customWidth="1"/>
    <col min="19" max="19" width="17" style="202" bestFit="1" customWidth="1"/>
    <col min="20" max="20" width="13.7109375" style="202" bestFit="1" customWidth="1"/>
    <col min="21" max="21" width="15.5703125" style="17" bestFit="1" customWidth="1"/>
    <col min="22" max="22" width="14.42578125" style="202" bestFit="1" customWidth="1"/>
    <col min="23" max="24" width="13.7109375" style="202" bestFit="1" customWidth="1"/>
    <col min="25" max="25" width="13.7109375" style="202" customWidth="1"/>
    <col min="26" max="26" width="38" style="202" bestFit="1" customWidth="1"/>
    <col min="27" max="27" width="17" style="202" bestFit="1" customWidth="1"/>
    <col min="28" max="16384" width="9.140625" style="202"/>
  </cols>
  <sheetData>
    <row r="1" spans="1:27" ht="22.5">
      <c r="A1" s="332" t="s">
        <v>87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27" ht="22.5">
      <c r="A2" s="332" t="s">
        <v>52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27" ht="22.5">
      <c r="A3" s="332" t="str">
        <f>' سهام'!$A$3</f>
        <v>برای ماه منتهی به 1403/06/31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7">
      <c r="A4" s="303" t="s">
        <v>59</v>
      </c>
      <c r="B4" s="303"/>
      <c r="C4" s="303"/>
      <c r="D4" s="303"/>
      <c r="E4" s="303"/>
      <c r="F4" s="303"/>
      <c r="G4" s="303"/>
      <c r="H4" s="303"/>
    </row>
    <row r="5" spans="1:27" ht="21" customHeight="1" thickBot="1">
      <c r="A5" s="170"/>
      <c r="B5" s="170"/>
      <c r="C5" s="353" t="str">
        <f>'درآمد سرمایه گذاری در سهام '!C7</f>
        <v>طی شهریور ماه</v>
      </c>
      <c r="D5" s="353"/>
      <c r="E5" s="353"/>
      <c r="F5" s="353"/>
      <c r="G5" s="353"/>
      <c r="H5" s="353"/>
      <c r="I5" s="353"/>
      <c r="K5" s="353" t="str">
        <f>'درآمد سرمایه گذاری در سهام '!M7</f>
        <v>از ابتدای سال مالی تا پایان شهریور ماه</v>
      </c>
      <c r="L5" s="353"/>
      <c r="M5" s="353"/>
      <c r="N5" s="353"/>
      <c r="O5" s="353"/>
      <c r="P5" s="353"/>
      <c r="Q5" s="353"/>
    </row>
    <row r="6" spans="1:27" ht="27" customHeight="1" thickBot="1">
      <c r="A6" s="233" t="s">
        <v>33</v>
      </c>
      <c r="B6" s="233"/>
      <c r="C6" s="27" t="s">
        <v>3</v>
      </c>
      <c r="D6" s="28"/>
      <c r="E6" s="29" t="s">
        <v>18</v>
      </c>
      <c r="F6" s="28"/>
      <c r="G6" s="27" t="s">
        <v>38</v>
      </c>
      <c r="H6" s="28"/>
      <c r="I6" s="30" t="s">
        <v>39</v>
      </c>
      <c r="K6" s="27" t="s">
        <v>3</v>
      </c>
      <c r="L6" s="28"/>
      <c r="M6" s="29" t="s">
        <v>18</v>
      </c>
      <c r="N6" s="28"/>
      <c r="O6" s="27" t="s">
        <v>38</v>
      </c>
      <c r="P6" s="28"/>
      <c r="Q6" s="30" t="s">
        <v>39</v>
      </c>
    </row>
    <row r="7" spans="1:27" s="153" customFormat="1" ht="21.75" customHeight="1">
      <c r="A7" s="234" t="s">
        <v>140</v>
      </c>
      <c r="C7" s="16">
        <f>IFERROR(VLOOKUP(A7,' سهام'!$A$10:$U$101,15,0),0)</f>
        <v>190118</v>
      </c>
      <c r="D7" s="16"/>
      <c r="E7" s="16">
        <f>IFERROR(VLOOKUP(A7,' سهام'!$A$10:$U$101,21,0),0)</f>
        <v>3218445171</v>
      </c>
      <c r="F7" s="16" t="s">
        <v>120</v>
      </c>
      <c r="G7" s="242">
        <v>3130245608</v>
      </c>
      <c r="H7" s="16"/>
      <c r="I7" s="16">
        <f>E7-G7</f>
        <v>88199563</v>
      </c>
      <c r="J7" s="16"/>
      <c r="K7" s="16">
        <f>IFERROR(VLOOKUP(A7,' سهام'!$A$10:$U$101,15,0),0)</f>
        <v>190118</v>
      </c>
      <c r="L7" s="16"/>
      <c r="M7" s="16">
        <f>IFERROR(VLOOKUP(A7,' سهام'!$A$10:$U$101,21,0),0)</f>
        <v>3218445171</v>
      </c>
      <c r="N7" s="16"/>
      <c r="O7" s="242">
        <v>3366295115</v>
      </c>
      <c r="P7" s="16"/>
      <c r="Q7" s="16">
        <f>M7-O7</f>
        <v>-147849944</v>
      </c>
      <c r="R7" s="206"/>
      <c r="S7" s="130"/>
      <c r="T7" s="206"/>
      <c r="U7" s="45"/>
      <c r="V7" s="45"/>
      <c r="W7" s="206"/>
      <c r="X7" s="206"/>
      <c r="Y7" s="206"/>
      <c r="Z7" s="206"/>
      <c r="AA7" s="45"/>
    </row>
    <row r="8" spans="1:27" s="153" customFormat="1" ht="21.75" customHeight="1">
      <c r="A8" s="234" t="s">
        <v>123</v>
      </c>
      <c r="C8" s="16">
        <f>IFERROR(VLOOKUP(A8,' سهام'!$A$10:$U$101,15,0),0)</f>
        <v>64886</v>
      </c>
      <c r="D8" s="16"/>
      <c r="E8" s="16">
        <f>IFERROR(VLOOKUP(A8,' سهام'!$A$10:$U$101,21,0),0)</f>
        <v>1517683315</v>
      </c>
      <c r="F8" s="16"/>
      <c r="G8" s="242">
        <v>1484143354</v>
      </c>
      <c r="H8" s="16"/>
      <c r="I8" s="16">
        <f t="shared" ref="I8:I32" si="0">E8-G8</f>
        <v>33539961</v>
      </c>
      <c r="J8" s="16"/>
      <c r="K8" s="16">
        <f>IFERROR(VLOOKUP(A8,' سهام'!$A$10:$U$101,15,0),0)</f>
        <v>64886</v>
      </c>
      <c r="L8" s="16"/>
      <c r="M8" s="16">
        <f>IFERROR(VLOOKUP(A8,' سهام'!$A$10:$U$101,21,0),0)</f>
        <v>1517683315</v>
      </c>
      <c r="N8" s="16"/>
      <c r="O8" s="242">
        <v>1121315880</v>
      </c>
      <c r="P8" s="16"/>
      <c r="Q8" s="16">
        <f t="shared" ref="Q8:Q32" si="1">M8-O8</f>
        <v>396367435</v>
      </c>
      <c r="R8" s="206"/>
      <c r="S8" s="130"/>
      <c r="T8" s="206"/>
      <c r="U8" s="45"/>
      <c r="V8" s="45"/>
      <c r="W8" s="206"/>
      <c r="X8" s="206"/>
      <c r="Y8" s="206"/>
      <c r="Z8" s="206"/>
      <c r="AA8" s="45"/>
    </row>
    <row r="9" spans="1:27" s="153" customFormat="1" ht="21.75" customHeight="1">
      <c r="A9" s="234" t="s">
        <v>99</v>
      </c>
      <c r="C9" s="16">
        <f>IFERROR(VLOOKUP(A9,' سهام'!$A$10:$U$101,15,0),0)</f>
        <v>377</v>
      </c>
      <c r="D9" s="16"/>
      <c r="E9" s="16">
        <f>IFERROR(VLOOKUP(A9,' سهام'!$A$10:$U$101,21,0),0)</f>
        <v>17055188</v>
      </c>
      <c r="F9" s="16"/>
      <c r="G9" s="242">
        <v>422145976</v>
      </c>
      <c r="H9" s="16"/>
      <c r="I9" s="16">
        <f t="shared" si="0"/>
        <v>-405090788</v>
      </c>
      <c r="J9" s="16"/>
      <c r="K9" s="16">
        <f>IFERROR(VLOOKUP(A9,' سهام'!$A$10:$U$101,15,0),0)</f>
        <v>377</v>
      </c>
      <c r="L9" s="16"/>
      <c r="M9" s="16">
        <f>IFERROR(VLOOKUP(A9,' سهام'!$A$10:$U$101,21,0),0)</f>
        <v>17055188</v>
      </c>
      <c r="N9" s="16"/>
      <c r="O9" s="242">
        <v>11765824</v>
      </c>
      <c r="P9" s="16"/>
      <c r="Q9" s="16">
        <f t="shared" si="1"/>
        <v>5289364</v>
      </c>
      <c r="R9" s="206"/>
      <c r="S9" s="130"/>
      <c r="T9" s="206"/>
      <c r="U9" s="45"/>
      <c r="V9" s="45"/>
      <c r="W9" s="206"/>
      <c r="X9" s="206"/>
      <c r="Y9" s="206"/>
      <c r="Z9" s="206"/>
      <c r="AA9" s="45"/>
    </row>
    <row r="10" spans="1:27" s="153" customFormat="1" ht="21.75" customHeight="1">
      <c r="A10" s="234" t="s">
        <v>170</v>
      </c>
      <c r="C10" s="16">
        <f>IFERROR(VLOOKUP(A10,' سهام'!$A$10:$U$101,15,0),0)</f>
        <v>57688</v>
      </c>
      <c r="D10" s="16"/>
      <c r="E10" s="16">
        <f>IFERROR(VLOOKUP(A10,' سهام'!$A$10:$U$101,21,0),0)</f>
        <v>1520782943</v>
      </c>
      <c r="F10" s="16"/>
      <c r="G10" s="242">
        <v>1483685863</v>
      </c>
      <c r="H10" s="16"/>
      <c r="I10" s="16">
        <f t="shared" si="0"/>
        <v>37097080</v>
      </c>
      <c r="J10" s="16"/>
      <c r="K10" s="16">
        <f>IFERROR(VLOOKUP(A10,' سهام'!$A$10:$U$101,15,0),0)</f>
        <v>57688</v>
      </c>
      <c r="L10" s="16"/>
      <c r="M10" s="16">
        <f>IFERROR(VLOOKUP(A10,' سهام'!$A$10:$U$101,21,0),0)</f>
        <v>1520782943</v>
      </c>
      <c r="N10" s="16"/>
      <c r="O10" s="242">
        <v>1483685863</v>
      </c>
      <c r="P10" s="16"/>
      <c r="Q10" s="16">
        <f t="shared" si="1"/>
        <v>37097080</v>
      </c>
      <c r="R10" s="206"/>
      <c r="S10" s="130"/>
      <c r="T10" s="206"/>
      <c r="U10" s="45"/>
      <c r="V10" s="45"/>
      <c r="W10" s="206"/>
      <c r="X10" s="206"/>
      <c r="Y10" s="206"/>
      <c r="Z10" s="206"/>
      <c r="AA10" s="45"/>
    </row>
    <row r="11" spans="1:27" s="153" customFormat="1" ht="21.75" customHeight="1">
      <c r="A11" s="234" t="s">
        <v>169</v>
      </c>
      <c r="C11" s="16">
        <f>IFERROR(VLOOKUP(A11,' سهام'!$A$10:$U$101,15,0),0)</f>
        <v>277929</v>
      </c>
      <c r="D11" s="16"/>
      <c r="E11" s="16">
        <f>IFERROR(VLOOKUP(A11,' سهام'!$A$10:$U$101,21,0),0)</f>
        <v>1132176275</v>
      </c>
      <c r="F11" s="16"/>
      <c r="G11" s="242">
        <v>1070018671</v>
      </c>
      <c r="H11" s="16"/>
      <c r="I11" s="16">
        <f t="shared" si="0"/>
        <v>62157604</v>
      </c>
      <c r="J11" s="16"/>
      <c r="K11" s="16">
        <f>IFERROR(VLOOKUP(A11,' سهام'!$A$10:$U$101,15,0),0)</f>
        <v>277929</v>
      </c>
      <c r="L11" s="16"/>
      <c r="M11" s="16">
        <f>IFERROR(VLOOKUP(A11,' سهام'!$A$10:$U$101,21,0),0)</f>
        <v>1132176275</v>
      </c>
      <c r="N11" s="16"/>
      <c r="O11" s="242">
        <v>1070018671</v>
      </c>
      <c r="P11" s="16"/>
      <c r="Q11" s="16">
        <f t="shared" si="1"/>
        <v>62157604</v>
      </c>
      <c r="R11" s="206"/>
      <c r="S11" s="130"/>
      <c r="T11" s="206"/>
      <c r="U11" s="45"/>
      <c r="V11" s="45"/>
      <c r="W11" s="206"/>
      <c r="X11" s="206"/>
      <c r="Y11" s="206"/>
      <c r="Z11" s="206"/>
      <c r="AA11" s="45"/>
    </row>
    <row r="12" spans="1:27" s="153" customFormat="1" ht="21.75" customHeight="1">
      <c r="A12" s="234" t="s">
        <v>105</v>
      </c>
      <c r="C12" s="16">
        <f>IFERROR(VLOOKUP(A12,' سهام'!$A$10:$U$101,15,0),0)</f>
        <v>36974</v>
      </c>
      <c r="D12" s="16"/>
      <c r="E12" s="16">
        <f>IFERROR(VLOOKUP(A12,' سهام'!$A$10:$U$101,21,0),0)</f>
        <v>982434549</v>
      </c>
      <c r="F12" s="16"/>
      <c r="G12" s="242">
        <v>931346483</v>
      </c>
      <c r="H12" s="16"/>
      <c r="I12" s="16">
        <f t="shared" si="0"/>
        <v>51088066</v>
      </c>
      <c r="J12" s="16"/>
      <c r="K12" s="16">
        <f>IFERROR(VLOOKUP(A12,' سهام'!$A$10:$U$101,15,0),0)</f>
        <v>36974</v>
      </c>
      <c r="L12" s="16"/>
      <c r="M12" s="16">
        <f>IFERROR(VLOOKUP(A12,' سهام'!$A$10:$U$101,21,0),0)</f>
        <v>982434549</v>
      </c>
      <c r="N12" s="16"/>
      <c r="O12" s="242">
        <v>856032528</v>
      </c>
      <c r="P12" s="16"/>
      <c r="Q12" s="16">
        <f t="shared" si="1"/>
        <v>126402021</v>
      </c>
      <c r="R12" s="206"/>
      <c r="S12" s="130"/>
      <c r="T12" s="206"/>
      <c r="U12" s="45"/>
      <c r="V12" s="45"/>
      <c r="W12" s="206"/>
      <c r="X12" s="206"/>
      <c r="Y12" s="206"/>
      <c r="Z12" s="206"/>
      <c r="AA12" s="45"/>
    </row>
    <row r="13" spans="1:27" s="153" customFormat="1" ht="21.75" customHeight="1">
      <c r="A13" s="234" t="s">
        <v>92</v>
      </c>
      <c r="C13" s="16">
        <f>IFERROR(VLOOKUP(A13,' سهام'!$A$10:$U$101,15,0),0)</f>
        <v>0</v>
      </c>
      <c r="D13" s="16"/>
      <c r="E13" s="16">
        <f>IFERROR(VLOOKUP(A13,' سهام'!$A$10:$U$101,21,0),0)</f>
        <v>0</v>
      </c>
      <c r="F13" s="16"/>
      <c r="G13" s="242">
        <v>-8425887</v>
      </c>
      <c r="H13" s="16"/>
      <c r="I13" s="16">
        <f t="shared" si="0"/>
        <v>8425887</v>
      </c>
      <c r="J13" s="16"/>
      <c r="K13" s="16">
        <f>IFERROR(VLOOKUP(A13,' سهام'!$A$10:$U$101,15,0),0)</f>
        <v>0</v>
      </c>
      <c r="L13" s="16"/>
      <c r="M13" s="16">
        <f>IFERROR(VLOOKUP(A13,' سهام'!$A$10:$U$101,21,0),0)</f>
        <v>0</v>
      </c>
      <c r="N13" s="16"/>
      <c r="O13" s="242">
        <v>0</v>
      </c>
      <c r="P13" s="16"/>
      <c r="Q13" s="16">
        <f t="shared" si="1"/>
        <v>0</v>
      </c>
      <c r="R13" s="206"/>
      <c r="S13" s="130"/>
      <c r="T13" s="206"/>
      <c r="U13" s="45"/>
      <c r="V13" s="45"/>
      <c r="W13" s="206"/>
      <c r="X13" s="206"/>
      <c r="Y13" s="206"/>
      <c r="Z13" s="206"/>
      <c r="AA13" s="45"/>
    </row>
    <row r="14" spans="1:27" s="153" customFormat="1" ht="21.75" customHeight="1">
      <c r="A14" s="234" t="s">
        <v>91</v>
      </c>
      <c r="C14" s="16">
        <f>IFERROR(VLOOKUP(A14,' سهام'!$A$10:$U$101,15,0),0)</f>
        <v>208254</v>
      </c>
      <c r="D14" s="16"/>
      <c r="E14" s="16">
        <f>IFERROR(VLOOKUP(A14,' سهام'!$A$10:$U$101,21,0),0)</f>
        <v>3554445642</v>
      </c>
      <c r="F14" s="16"/>
      <c r="G14" s="242">
        <v>3550305345</v>
      </c>
      <c r="H14" s="16"/>
      <c r="I14" s="16">
        <f t="shared" si="0"/>
        <v>4140297</v>
      </c>
      <c r="J14" s="16"/>
      <c r="K14" s="16">
        <f>IFERROR(VLOOKUP(A14,' سهام'!$A$10:$U$101,15,0),0)</f>
        <v>208254</v>
      </c>
      <c r="L14" s="16"/>
      <c r="M14" s="16">
        <f>IFERROR(VLOOKUP(A14,' سهام'!$A$10:$U$101,21,0),0)</f>
        <v>3554445642</v>
      </c>
      <c r="N14" s="16"/>
      <c r="O14" s="242">
        <v>3618511584</v>
      </c>
      <c r="P14" s="16"/>
      <c r="Q14" s="16">
        <f t="shared" si="1"/>
        <v>-64065942</v>
      </c>
      <c r="R14" s="206"/>
      <c r="S14" s="130"/>
      <c r="T14" s="206"/>
      <c r="U14" s="45"/>
      <c r="V14" s="45"/>
      <c r="W14" s="206"/>
      <c r="X14" s="206"/>
      <c r="Y14" s="206"/>
      <c r="Z14" s="206"/>
      <c r="AA14" s="45"/>
    </row>
    <row r="15" spans="1:27" s="153" customFormat="1" ht="21.75" customHeight="1">
      <c r="A15" s="234" t="s">
        <v>93</v>
      </c>
      <c r="C15" s="16">
        <f>IFERROR(VLOOKUP(A15,' سهام'!$A$10:$U$101,15,0),0)</f>
        <v>552673</v>
      </c>
      <c r="D15" s="16"/>
      <c r="E15" s="16">
        <f>IFERROR(VLOOKUP(A15,' سهام'!$A$10:$U$101,21,0),0)</f>
        <v>4301681389</v>
      </c>
      <c r="F15" s="16"/>
      <c r="G15" s="242">
        <v>3906124477</v>
      </c>
      <c r="H15" s="16"/>
      <c r="I15" s="16">
        <f t="shared" si="0"/>
        <v>395556912</v>
      </c>
      <c r="J15" s="16"/>
      <c r="K15" s="16">
        <f>IFERROR(VLOOKUP(A15,' سهام'!$A$10:$U$101,15,0),0)</f>
        <v>552673</v>
      </c>
      <c r="L15" s="16"/>
      <c r="M15" s="16">
        <f>IFERROR(VLOOKUP(A15,' سهام'!$A$10:$U$101,21,0),0)</f>
        <v>4301681389</v>
      </c>
      <c r="N15" s="16"/>
      <c r="O15" s="242">
        <v>4744870878</v>
      </c>
      <c r="P15" s="16"/>
      <c r="Q15" s="16">
        <f t="shared" si="1"/>
        <v>-443189489</v>
      </c>
      <c r="R15" s="206"/>
      <c r="S15" s="130"/>
      <c r="T15" s="206"/>
      <c r="U15" s="45"/>
      <c r="V15" s="45"/>
      <c r="W15" s="206"/>
      <c r="X15" s="206"/>
      <c r="Y15" s="206"/>
      <c r="Z15" s="206"/>
      <c r="AA15" s="45"/>
    </row>
    <row r="16" spans="1:27" s="153" customFormat="1" ht="21.75" customHeight="1">
      <c r="A16" s="234" t="s">
        <v>102</v>
      </c>
      <c r="C16" s="16">
        <f>IFERROR(VLOOKUP(A16,' سهام'!$A$10:$U$101,15,0),0)</f>
        <v>40877</v>
      </c>
      <c r="D16" s="16"/>
      <c r="E16" s="16">
        <f>IFERROR(VLOOKUP(A16,' سهام'!$A$10:$U$101,21,0),0)</f>
        <v>1156031097</v>
      </c>
      <c r="F16" s="16"/>
      <c r="G16" s="242">
        <v>1042256509</v>
      </c>
      <c r="H16" s="16"/>
      <c r="I16" s="16">
        <f t="shared" si="0"/>
        <v>113774588</v>
      </c>
      <c r="J16" s="16"/>
      <c r="K16" s="16">
        <f>IFERROR(VLOOKUP(A16,' سهام'!$A$10:$U$101,15,0),0)</f>
        <v>40877</v>
      </c>
      <c r="L16" s="16"/>
      <c r="M16" s="16">
        <f>IFERROR(VLOOKUP(A16,' سهام'!$A$10:$U$101,21,0),0)</f>
        <v>1156031097</v>
      </c>
      <c r="N16" s="16"/>
      <c r="O16" s="242">
        <v>904308965</v>
      </c>
      <c r="P16" s="16"/>
      <c r="Q16" s="16">
        <f t="shared" si="1"/>
        <v>251722132</v>
      </c>
      <c r="R16" s="206"/>
      <c r="S16" s="130"/>
      <c r="T16" s="206"/>
      <c r="U16" s="45"/>
      <c r="V16" s="45"/>
      <c r="W16" s="206"/>
      <c r="X16" s="206"/>
      <c r="Y16" s="206"/>
      <c r="Z16" s="206"/>
      <c r="AA16" s="45"/>
    </row>
    <row r="17" spans="1:27" s="153" customFormat="1" ht="21.75" customHeight="1">
      <c r="A17" s="234" t="s">
        <v>94</v>
      </c>
      <c r="C17" s="16">
        <f>IFERROR(VLOOKUP(A17,' سهام'!$A$10:$U$101,15,0),0)</f>
        <v>1280694</v>
      </c>
      <c r="D17" s="16"/>
      <c r="E17" s="16">
        <f>IFERROR(VLOOKUP(A17,' سهام'!$A$10:$U$101,21,0),0)</f>
        <v>7651173966</v>
      </c>
      <c r="F17" s="16"/>
      <c r="G17" s="242">
        <v>7559989366</v>
      </c>
      <c r="H17" s="16"/>
      <c r="I17" s="16">
        <f t="shared" si="0"/>
        <v>91184600</v>
      </c>
      <c r="J17" s="16"/>
      <c r="K17" s="16">
        <f>IFERROR(VLOOKUP(A17,' سهام'!$A$10:$U$101,15,0),0)</f>
        <v>1280694</v>
      </c>
      <c r="L17" s="16"/>
      <c r="M17" s="16">
        <f>IFERROR(VLOOKUP(A17,' سهام'!$A$10:$U$101,21,0),0)</f>
        <v>7651173966</v>
      </c>
      <c r="N17" s="16"/>
      <c r="O17" s="242">
        <v>8626432853</v>
      </c>
      <c r="P17" s="16"/>
      <c r="Q17" s="16">
        <f t="shared" si="1"/>
        <v>-975258887</v>
      </c>
      <c r="R17" s="206"/>
      <c r="S17" s="130"/>
      <c r="T17" s="206"/>
      <c r="U17" s="45"/>
      <c r="V17" s="45"/>
      <c r="W17" s="206"/>
      <c r="X17" s="206"/>
      <c r="Y17" s="206"/>
      <c r="Z17" s="206"/>
      <c r="AA17" s="45"/>
    </row>
    <row r="18" spans="1:27" s="153" customFormat="1" ht="21.75" customHeight="1">
      <c r="A18" s="234" t="s">
        <v>90</v>
      </c>
      <c r="C18" s="16">
        <f>IFERROR(VLOOKUP(A18,' سهام'!$A$10:$U$101,15,0),0)</f>
        <v>377734</v>
      </c>
      <c r="D18" s="16"/>
      <c r="E18" s="16">
        <f>IFERROR(VLOOKUP(A18,' سهام'!$A$10:$U$101,21,0),0)</f>
        <v>6818834530</v>
      </c>
      <c r="F18" s="16"/>
      <c r="G18" s="242">
        <v>6353576731</v>
      </c>
      <c r="H18" s="16"/>
      <c r="I18" s="16">
        <f t="shared" si="0"/>
        <v>465257799</v>
      </c>
      <c r="J18" s="16"/>
      <c r="K18" s="16">
        <f>IFERROR(VLOOKUP(A18,' سهام'!$A$10:$U$101,15,0),0)</f>
        <v>377734</v>
      </c>
      <c r="L18" s="16"/>
      <c r="M18" s="16">
        <f>IFERROR(VLOOKUP(A18,' سهام'!$A$10:$U$101,21,0),0)</f>
        <v>6818834530</v>
      </c>
      <c r="N18" s="16"/>
      <c r="O18" s="242">
        <v>6719691479</v>
      </c>
      <c r="P18" s="16"/>
      <c r="Q18" s="16">
        <f t="shared" si="1"/>
        <v>99143051</v>
      </c>
      <c r="R18" s="206"/>
      <c r="S18" s="130"/>
      <c r="T18" s="206"/>
      <c r="U18" s="45"/>
      <c r="V18" s="45"/>
      <c r="W18" s="206"/>
      <c r="X18" s="206"/>
      <c r="Y18" s="206"/>
      <c r="Z18" s="206"/>
      <c r="AA18" s="45"/>
    </row>
    <row r="19" spans="1:27" s="153" customFormat="1" ht="21.75" customHeight="1">
      <c r="A19" s="234" t="s">
        <v>88</v>
      </c>
      <c r="C19" s="16">
        <f>IFERROR(VLOOKUP(A19,' سهام'!$A$10:$U$101,15,0),0)</f>
        <v>158661</v>
      </c>
      <c r="D19" s="16"/>
      <c r="E19" s="16">
        <f>IFERROR(VLOOKUP(A19,' سهام'!$A$10:$U$101,21,0),0)</f>
        <v>1059858021</v>
      </c>
      <c r="F19" s="16"/>
      <c r="G19" s="242">
        <v>1104018773</v>
      </c>
      <c r="H19" s="16"/>
      <c r="I19" s="16">
        <f t="shared" si="0"/>
        <v>-44160752</v>
      </c>
      <c r="J19" s="16"/>
      <c r="K19" s="16">
        <f>IFERROR(VLOOKUP(A19,' سهام'!$A$10:$U$101,15,0),0)</f>
        <v>158661</v>
      </c>
      <c r="L19" s="16"/>
      <c r="M19" s="16">
        <f>IFERROR(VLOOKUP(A19,' سهام'!$A$10:$U$101,21,0),0)</f>
        <v>1059858021</v>
      </c>
      <c r="N19" s="16"/>
      <c r="O19" s="242">
        <v>1873008203</v>
      </c>
      <c r="P19" s="16"/>
      <c r="Q19" s="16">
        <f t="shared" si="1"/>
        <v>-813150182</v>
      </c>
      <c r="R19" s="206"/>
      <c r="S19" s="130"/>
      <c r="T19" s="206"/>
      <c r="U19" s="45"/>
      <c r="V19" s="45"/>
      <c r="W19" s="206"/>
      <c r="X19" s="206"/>
      <c r="Y19" s="206"/>
      <c r="Z19" s="206"/>
      <c r="AA19" s="45"/>
    </row>
    <row r="20" spans="1:27" s="153" customFormat="1" ht="21.75" customHeight="1">
      <c r="A20" s="234" t="s">
        <v>121</v>
      </c>
      <c r="C20" s="16">
        <f>IFERROR(VLOOKUP(A20,' سهام'!$A$10:$U$101,15,0),0)</f>
        <v>188254</v>
      </c>
      <c r="D20" s="16"/>
      <c r="E20" s="16">
        <f>IFERROR(VLOOKUP(A20,' سهام'!$A$10:$U$101,21,0),0)</f>
        <v>2108998930</v>
      </c>
      <c r="F20" s="16"/>
      <c r="G20" s="242">
        <v>1886072124</v>
      </c>
      <c r="H20" s="16"/>
      <c r="I20" s="16">
        <f t="shared" si="0"/>
        <v>222926806</v>
      </c>
      <c r="J20" s="16"/>
      <c r="K20" s="16">
        <f>IFERROR(VLOOKUP(A20,' سهام'!$A$10:$U$101,15,0),0)</f>
        <v>188254</v>
      </c>
      <c r="L20" s="16"/>
      <c r="M20" s="16">
        <f>IFERROR(VLOOKUP(A20,' سهام'!$A$10:$U$101,21,0),0)</f>
        <v>2108998930</v>
      </c>
      <c r="N20" s="16"/>
      <c r="O20" s="242">
        <v>2447780978</v>
      </c>
      <c r="P20" s="16"/>
      <c r="Q20" s="16">
        <f t="shared" si="1"/>
        <v>-338782048</v>
      </c>
      <c r="R20" s="206"/>
      <c r="S20" s="130"/>
      <c r="T20" s="206"/>
      <c r="U20" s="45"/>
      <c r="V20" s="45"/>
      <c r="W20" s="206"/>
      <c r="X20" s="206"/>
      <c r="Y20" s="206"/>
      <c r="Z20" s="206"/>
      <c r="AA20" s="45"/>
    </row>
    <row r="21" spans="1:27" s="153" customFormat="1" ht="21.75" customHeight="1">
      <c r="A21" s="234" t="s">
        <v>95</v>
      </c>
      <c r="C21" s="16">
        <f>IFERROR(VLOOKUP(A21,' سهام'!$A$10:$U$101,15,0),0)</f>
        <v>956931</v>
      </c>
      <c r="D21" s="16"/>
      <c r="E21" s="16">
        <f>IFERROR(VLOOKUP(A21,' سهام'!$A$10:$U$101,21,0),0)</f>
        <v>2477021830</v>
      </c>
      <c r="F21" s="16"/>
      <c r="G21" s="242">
        <v>2330531293</v>
      </c>
      <c r="H21" s="16"/>
      <c r="I21" s="16">
        <f t="shared" si="0"/>
        <v>146490537</v>
      </c>
      <c r="J21" s="16"/>
      <c r="K21" s="16">
        <f>IFERROR(VLOOKUP(A21,' سهام'!$A$10:$U$101,15,0),0)</f>
        <v>956931</v>
      </c>
      <c r="L21" s="16"/>
      <c r="M21" s="16">
        <f>IFERROR(VLOOKUP(A21,' سهام'!$A$10:$U$101,21,0),0)</f>
        <v>2477021830</v>
      </c>
      <c r="N21" s="16"/>
      <c r="O21" s="242">
        <v>2449405450</v>
      </c>
      <c r="P21" s="16"/>
      <c r="Q21" s="16">
        <f t="shared" si="1"/>
        <v>27616380</v>
      </c>
      <c r="R21" s="206"/>
      <c r="S21" s="130"/>
      <c r="T21" s="206"/>
      <c r="U21" s="45"/>
      <c r="V21" s="45"/>
      <c r="W21" s="206"/>
      <c r="X21" s="206"/>
      <c r="Y21" s="206"/>
      <c r="Z21" s="206"/>
      <c r="AA21" s="45"/>
    </row>
    <row r="22" spans="1:27" s="153" customFormat="1" ht="21.75" customHeight="1">
      <c r="A22" s="234" t="s">
        <v>103</v>
      </c>
      <c r="C22" s="16">
        <f>IFERROR(VLOOKUP(A22,' سهام'!$A$10:$U$101,15,0),0)</f>
        <v>64355</v>
      </c>
      <c r="D22" s="16"/>
      <c r="E22" s="16">
        <f>IFERROR(VLOOKUP(A22,' سهام'!$A$10:$U$101,21,0),0)</f>
        <v>712649061</v>
      </c>
      <c r="F22" s="16"/>
      <c r="G22" s="242">
        <v>685141063</v>
      </c>
      <c r="H22" s="16"/>
      <c r="I22" s="16">
        <f t="shared" si="0"/>
        <v>27507998</v>
      </c>
      <c r="J22" s="16"/>
      <c r="K22" s="16">
        <f>IFERROR(VLOOKUP(A22,' سهام'!$A$10:$U$101,15,0),0)</f>
        <v>64355</v>
      </c>
      <c r="L22" s="16"/>
      <c r="M22" s="16">
        <f>IFERROR(VLOOKUP(A22,' سهام'!$A$10:$U$101,21,0),0)</f>
        <v>712649061</v>
      </c>
      <c r="N22" s="16"/>
      <c r="O22" s="242">
        <v>945047591</v>
      </c>
      <c r="P22" s="16"/>
      <c r="Q22" s="16">
        <f t="shared" si="1"/>
        <v>-232398530</v>
      </c>
      <c r="R22" s="206"/>
      <c r="S22" s="130"/>
      <c r="T22" s="206"/>
      <c r="U22" s="45"/>
      <c r="V22" s="45"/>
      <c r="W22" s="206"/>
      <c r="X22" s="206"/>
      <c r="Y22" s="206"/>
      <c r="Z22" s="206"/>
      <c r="AA22" s="45"/>
    </row>
    <row r="23" spans="1:27" s="153" customFormat="1" ht="21.75" customHeight="1">
      <c r="A23" s="234" t="s">
        <v>111</v>
      </c>
      <c r="C23" s="16">
        <f>IFERROR(VLOOKUP(A23,' سهام'!$A$10:$U$101,15,0),0)</f>
        <v>1610871</v>
      </c>
      <c r="D23" s="16"/>
      <c r="E23" s="16">
        <f>IFERROR(VLOOKUP(A23,' سهام'!$A$10:$U$101,21,0),0)</f>
        <v>5112907215</v>
      </c>
      <c r="F23" s="16"/>
      <c r="G23" s="242">
        <v>4565267296</v>
      </c>
      <c r="H23" s="16"/>
      <c r="I23" s="16">
        <f t="shared" si="0"/>
        <v>547639919</v>
      </c>
      <c r="J23" s="16"/>
      <c r="K23" s="16">
        <f>IFERROR(VLOOKUP(A23,' سهام'!$A$10:$U$101,15,0),0)</f>
        <v>1610871</v>
      </c>
      <c r="L23" s="16"/>
      <c r="M23" s="16">
        <f>IFERROR(VLOOKUP(A23,' سهام'!$A$10:$U$101,21,0),0)</f>
        <v>5112907215</v>
      </c>
      <c r="N23" s="16"/>
      <c r="O23" s="242">
        <v>4991267545</v>
      </c>
      <c r="P23" s="16"/>
      <c r="Q23" s="16">
        <f t="shared" si="1"/>
        <v>121639670</v>
      </c>
      <c r="R23" s="206"/>
      <c r="S23" s="130"/>
      <c r="T23" s="206"/>
      <c r="U23" s="45"/>
      <c r="V23" s="45"/>
      <c r="W23" s="206"/>
      <c r="X23" s="206"/>
      <c r="Y23" s="206"/>
      <c r="Z23" s="206"/>
      <c r="AA23" s="45"/>
    </row>
    <row r="24" spans="1:27" s="153" customFormat="1" ht="21.75" customHeight="1">
      <c r="A24" s="234" t="s">
        <v>124</v>
      </c>
      <c r="C24" s="16">
        <f>IFERROR(VLOOKUP(A24,' سهام'!$A$10:$U$101,15,0),0)</f>
        <v>2076998</v>
      </c>
      <c r="D24" s="16"/>
      <c r="E24" s="16">
        <f>IFERROR(VLOOKUP(A24,' سهام'!$A$10:$U$101,21,0),0)</f>
        <v>2378465123</v>
      </c>
      <c r="F24" s="16"/>
      <c r="G24" s="242">
        <v>2264909931</v>
      </c>
      <c r="H24" s="16"/>
      <c r="I24" s="16">
        <f t="shared" si="0"/>
        <v>113555192</v>
      </c>
      <c r="J24" s="16"/>
      <c r="K24" s="16">
        <f>IFERROR(VLOOKUP(A24,' سهام'!$A$10:$U$101,15,0),0)</f>
        <v>2076998</v>
      </c>
      <c r="L24" s="16"/>
      <c r="M24" s="16">
        <f>IFERROR(VLOOKUP(A24,' سهام'!$A$10:$U$101,21,0),0)</f>
        <v>2378465123</v>
      </c>
      <c r="N24" s="16"/>
      <c r="O24" s="242">
        <v>2498067889</v>
      </c>
      <c r="P24" s="16"/>
      <c r="Q24" s="16">
        <f t="shared" si="1"/>
        <v>-119602766</v>
      </c>
      <c r="R24" s="206"/>
      <c r="S24" s="130"/>
      <c r="T24" s="206"/>
      <c r="U24" s="45"/>
      <c r="V24" s="45"/>
      <c r="W24" s="206"/>
      <c r="X24" s="206"/>
      <c r="Y24" s="206"/>
      <c r="Z24" s="206"/>
      <c r="AA24" s="45"/>
    </row>
    <row r="25" spans="1:27" s="153" customFormat="1" ht="21.75" customHeight="1">
      <c r="A25" s="234" t="s">
        <v>110</v>
      </c>
      <c r="C25" s="16">
        <f>IFERROR(VLOOKUP(A25,' سهام'!$A$10:$U$101,15,0),0)</f>
        <v>337658</v>
      </c>
      <c r="D25" s="16"/>
      <c r="E25" s="16">
        <f>IFERROR(VLOOKUP(A25,' سهام'!$A$10:$U$101,21,0),0)</f>
        <v>2178361589</v>
      </c>
      <c r="F25" s="16"/>
      <c r="G25" s="242">
        <v>2215282973</v>
      </c>
      <c r="H25" s="16"/>
      <c r="I25" s="16">
        <f t="shared" si="0"/>
        <v>-36921384</v>
      </c>
      <c r="J25" s="16"/>
      <c r="K25" s="16">
        <f>IFERROR(VLOOKUP(A25,' سهام'!$A$10:$U$101,15,0),0)</f>
        <v>337658</v>
      </c>
      <c r="L25" s="16"/>
      <c r="M25" s="16">
        <f>IFERROR(VLOOKUP(A25,' سهام'!$A$10:$U$101,21,0),0)</f>
        <v>2178361589</v>
      </c>
      <c r="N25" s="16"/>
      <c r="O25" s="242">
        <v>2334382483</v>
      </c>
      <c r="P25" s="16"/>
      <c r="Q25" s="16">
        <f t="shared" si="1"/>
        <v>-156020894</v>
      </c>
      <c r="R25" s="206"/>
      <c r="S25" s="130"/>
      <c r="T25" s="206"/>
      <c r="U25" s="45"/>
      <c r="V25" s="45"/>
      <c r="W25" s="206"/>
      <c r="X25" s="206"/>
      <c r="Y25" s="206"/>
      <c r="Z25" s="206"/>
      <c r="AA25" s="45"/>
    </row>
    <row r="26" spans="1:27" s="153" customFormat="1" ht="21.75" customHeight="1">
      <c r="A26" s="234" t="s">
        <v>125</v>
      </c>
      <c r="C26" s="16">
        <f>IFERROR(VLOOKUP(A26,' سهام'!$A$10:$U$101,15,0),0)</f>
        <v>572500</v>
      </c>
      <c r="D26" s="16"/>
      <c r="E26" s="16">
        <f>IFERROR(VLOOKUP(A26,' سهام'!$A$10:$U$101,21,0),0)</f>
        <v>7762437046</v>
      </c>
      <c r="F26" s="16"/>
      <c r="G26" s="242">
        <v>6516122009</v>
      </c>
      <c r="H26" s="16"/>
      <c r="I26" s="16">
        <f t="shared" si="0"/>
        <v>1246315037</v>
      </c>
      <c r="J26" s="16"/>
      <c r="K26" s="16">
        <f>IFERROR(VLOOKUP(A26,' سهام'!$A$10:$U$101,15,0),0)</f>
        <v>572500</v>
      </c>
      <c r="L26" s="16"/>
      <c r="M26" s="16">
        <f>IFERROR(VLOOKUP(A26,' سهام'!$A$10:$U$101,21,0),0)</f>
        <v>7762437046</v>
      </c>
      <c r="N26" s="16"/>
      <c r="O26" s="242">
        <v>7563861753</v>
      </c>
      <c r="P26" s="16"/>
      <c r="Q26" s="16">
        <f t="shared" si="1"/>
        <v>198575293</v>
      </c>
      <c r="R26" s="206"/>
      <c r="S26" s="130"/>
      <c r="T26" s="206"/>
      <c r="U26" s="45"/>
      <c r="V26" s="45"/>
      <c r="W26" s="206"/>
      <c r="X26" s="206"/>
      <c r="Y26" s="206"/>
      <c r="Z26" s="206"/>
      <c r="AA26" s="45"/>
    </row>
    <row r="27" spans="1:27" s="153" customFormat="1" ht="21.75" customHeight="1">
      <c r="A27" s="234" t="s">
        <v>126</v>
      </c>
      <c r="C27" s="16">
        <f>IFERROR(VLOOKUP(A27,' سهام'!$A$10:$U$101,15,0),0)</f>
        <v>200000</v>
      </c>
      <c r="D27" s="16"/>
      <c r="E27" s="16">
        <f>IFERROR(VLOOKUP(A27,' سهام'!$A$10:$U$101,21,0),0)</f>
        <v>2055695400</v>
      </c>
      <c r="F27" s="16"/>
      <c r="G27" s="242">
        <v>1938397500</v>
      </c>
      <c r="H27" s="16"/>
      <c r="I27" s="16">
        <f t="shared" si="0"/>
        <v>117297900</v>
      </c>
      <c r="J27" s="16"/>
      <c r="K27" s="16">
        <f>IFERROR(VLOOKUP(A27,' سهام'!$A$10:$U$101,15,0),0)</f>
        <v>200000</v>
      </c>
      <c r="L27" s="16"/>
      <c r="M27" s="16">
        <f>IFERROR(VLOOKUP(A27,' سهام'!$A$10:$U$101,21,0),0)</f>
        <v>2055695400</v>
      </c>
      <c r="N27" s="16"/>
      <c r="O27" s="242">
        <v>1691534520</v>
      </c>
      <c r="P27" s="16"/>
      <c r="Q27" s="16">
        <f t="shared" si="1"/>
        <v>364160880</v>
      </c>
      <c r="R27" s="206"/>
      <c r="S27" s="130"/>
      <c r="T27" s="206"/>
      <c r="U27" s="45"/>
      <c r="V27" s="45"/>
      <c r="W27" s="206"/>
      <c r="X27" s="206"/>
      <c r="Y27" s="206"/>
      <c r="Z27" s="206"/>
      <c r="AA27" s="45"/>
    </row>
    <row r="28" spans="1:27" s="153" customFormat="1" ht="21.75" customHeight="1">
      <c r="A28" s="234" t="s">
        <v>141</v>
      </c>
      <c r="C28" s="16">
        <f>IFERROR(VLOOKUP(A28,' سهام'!$A$10:$U$101,15,0),0)</f>
        <v>0</v>
      </c>
      <c r="D28" s="16"/>
      <c r="E28" s="16">
        <f>IFERROR(VLOOKUP(A28,' سهام'!$A$10:$U$101,21,0),0)</f>
        <v>0</v>
      </c>
      <c r="F28" s="16"/>
      <c r="G28" s="242">
        <v>188819266</v>
      </c>
      <c r="H28" s="16"/>
      <c r="I28" s="16">
        <f t="shared" si="0"/>
        <v>-188819266</v>
      </c>
      <c r="J28" s="16"/>
      <c r="K28" s="16">
        <f>IFERROR(VLOOKUP(A28,' سهام'!$A$10:$U$101,15,0),0)</f>
        <v>0</v>
      </c>
      <c r="L28" s="16"/>
      <c r="M28" s="16">
        <f>IFERROR(VLOOKUP(A28,' سهام'!$A$10:$U$101,21,0),0)</f>
        <v>0</v>
      </c>
      <c r="N28" s="16"/>
      <c r="O28" s="242">
        <v>0</v>
      </c>
      <c r="P28" s="16"/>
      <c r="Q28" s="16">
        <f t="shared" si="1"/>
        <v>0</v>
      </c>
      <c r="R28" s="206"/>
      <c r="S28" s="130"/>
      <c r="T28" s="206"/>
      <c r="U28" s="45"/>
      <c r="V28" s="45"/>
      <c r="W28" s="206"/>
      <c r="X28" s="206"/>
      <c r="Y28" s="206"/>
      <c r="Z28" s="206"/>
      <c r="AA28" s="45"/>
    </row>
    <row r="29" spans="1:27" s="153" customFormat="1" ht="21.75" customHeight="1">
      <c r="A29" s="234" t="s">
        <v>163</v>
      </c>
      <c r="C29" s="16">
        <f>IFERROR(VLOOKUP(A29,' سهام'!$A$10:$U$101,15,0),0)</f>
        <v>67531</v>
      </c>
      <c r="D29" s="16"/>
      <c r="E29" s="16">
        <f>IFERROR(VLOOKUP(A29,' سهام'!$A$10:$U$101,21,0),0)</f>
        <v>367482637</v>
      </c>
      <c r="F29" s="16"/>
      <c r="G29" s="242">
        <v>374845676</v>
      </c>
      <c r="H29" s="16"/>
      <c r="I29" s="16">
        <f t="shared" si="0"/>
        <v>-7363039</v>
      </c>
      <c r="J29" s="16"/>
      <c r="K29" s="16">
        <f>IFERROR(VLOOKUP(A29,' سهام'!$A$10:$U$101,15,0),0)</f>
        <v>67531</v>
      </c>
      <c r="L29" s="16"/>
      <c r="M29" s="16">
        <f>IFERROR(VLOOKUP(A29,' سهام'!$A$10:$U$101,21,0),0)</f>
        <v>367482637</v>
      </c>
      <c r="N29" s="16"/>
      <c r="O29" s="242">
        <v>399341348</v>
      </c>
      <c r="P29" s="16"/>
      <c r="Q29" s="16">
        <f t="shared" si="1"/>
        <v>-31858711</v>
      </c>
      <c r="R29" s="206"/>
      <c r="S29" s="130"/>
      <c r="T29" s="206"/>
      <c r="U29" s="45"/>
      <c r="V29" s="45"/>
      <c r="W29" s="206"/>
      <c r="X29" s="206"/>
      <c r="Y29" s="206"/>
      <c r="Z29" s="206"/>
      <c r="AA29" s="45"/>
    </row>
    <row r="30" spans="1:27" s="153" customFormat="1" ht="21.75" customHeight="1">
      <c r="A30" s="234" t="s">
        <v>112</v>
      </c>
      <c r="C30" s="16">
        <f>IFERROR(VLOOKUP(A30,اوراق!$A$9:$AE$48,25,0),0)</f>
        <v>13420</v>
      </c>
      <c r="D30" s="16"/>
      <c r="E30" s="16">
        <f>IFERROR(VLOOKUP(A30,اوراق!$A$9:$AE$48,31,0),0)</f>
        <v>10538291790</v>
      </c>
      <c r="F30" s="16"/>
      <c r="G30" s="242">
        <v>10423034884</v>
      </c>
      <c r="H30" s="16"/>
      <c r="I30" s="16">
        <f t="shared" si="0"/>
        <v>115256906</v>
      </c>
      <c r="J30" s="16"/>
      <c r="K30" s="16">
        <f>IFERROR(VLOOKUP(A30,اوراق!$A$9:$AE$48,25,0),0)</f>
        <v>13420</v>
      </c>
      <c r="L30" s="16"/>
      <c r="M30" s="16">
        <f>IFERROR(VLOOKUP(A30,اوراق!$A$9:$AE$48,31,0),0)</f>
        <v>10538291790</v>
      </c>
      <c r="N30" s="16"/>
      <c r="O30" s="242">
        <v>9046611948</v>
      </c>
      <c r="P30" s="16"/>
      <c r="Q30" s="16">
        <f t="shared" si="1"/>
        <v>1491679842</v>
      </c>
      <c r="R30" s="206"/>
      <c r="S30" s="130"/>
      <c r="T30" s="206"/>
      <c r="U30" s="45"/>
      <c r="V30" s="45"/>
      <c r="W30" s="206"/>
      <c r="X30" s="206"/>
      <c r="Y30" s="206"/>
      <c r="Z30" s="206"/>
      <c r="AA30" s="45"/>
    </row>
    <row r="31" spans="1:27" s="153" customFormat="1" ht="21.75" customHeight="1">
      <c r="A31" s="234" t="s">
        <v>127</v>
      </c>
      <c r="C31" s="16">
        <f>IFERROR(VLOOKUP(A31,اوراق!$A$9:$AE$48,25,0),0)</f>
        <v>8000</v>
      </c>
      <c r="D31" s="16"/>
      <c r="E31" s="16">
        <f>IFERROR(VLOOKUP(A31,اوراق!$A$9:$AE$48,31,0),0)</f>
        <v>5776312854</v>
      </c>
      <c r="F31" s="16"/>
      <c r="G31" s="242">
        <v>5708245194</v>
      </c>
      <c r="H31" s="16"/>
      <c r="I31" s="16">
        <f t="shared" si="0"/>
        <v>68067660</v>
      </c>
      <c r="J31" s="16"/>
      <c r="K31" s="16">
        <f>IFERROR(VLOOKUP(A31,اوراق!$A$9:$AE$48,25,0),0)</f>
        <v>8000</v>
      </c>
      <c r="L31" s="16"/>
      <c r="M31" s="16">
        <f>IFERROR(VLOOKUP(A31,اوراق!$A$9:$AE$48,31,0),0)</f>
        <v>5776312854</v>
      </c>
      <c r="N31" s="16"/>
      <c r="O31" s="242">
        <v>4953173588</v>
      </c>
      <c r="P31" s="16"/>
      <c r="Q31" s="16">
        <f t="shared" si="1"/>
        <v>823139266</v>
      </c>
      <c r="R31" s="206"/>
      <c r="S31" s="130"/>
      <c r="T31" s="206"/>
      <c r="U31" s="45"/>
      <c r="V31" s="45"/>
      <c r="W31" s="206"/>
      <c r="X31" s="206"/>
      <c r="Y31" s="206"/>
      <c r="Z31" s="206"/>
      <c r="AA31" s="45"/>
    </row>
    <row r="32" spans="1:27" s="153" customFormat="1" ht="21.75" customHeight="1">
      <c r="A32" s="234" t="s">
        <v>114</v>
      </c>
      <c r="C32" s="16">
        <f>IFERROR(VLOOKUP(A32,اوراق!$A$9:$AE$48,25,0),0)</f>
        <v>11290</v>
      </c>
      <c r="D32" s="16"/>
      <c r="E32" s="16">
        <f>IFERROR(VLOOKUP(A32,اوراق!$A$9:$AE$48,31,0),0)</f>
        <v>7027202691</v>
      </c>
      <c r="F32" s="16"/>
      <c r="G32" s="242">
        <v>6983405431</v>
      </c>
      <c r="H32" s="16"/>
      <c r="I32" s="16">
        <f t="shared" si="0"/>
        <v>43797260</v>
      </c>
      <c r="J32" s="16"/>
      <c r="K32" s="16">
        <f>IFERROR(VLOOKUP(A32,اوراق!$A$9:$AE$48,25,0),0)</f>
        <v>11290</v>
      </c>
      <c r="L32" s="16"/>
      <c r="M32" s="16">
        <f>IFERROR(VLOOKUP(A32,اوراق!$A$9:$AE$48,31,0),0)</f>
        <v>7027202691</v>
      </c>
      <c r="N32" s="16"/>
      <c r="O32" s="242">
        <v>6193536840</v>
      </c>
      <c r="P32" s="16"/>
      <c r="Q32" s="16">
        <f t="shared" si="1"/>
        <v>833665851</v>
      </c>
      <c r="R32" s="206"/>
      <c r="S32" s="130"/>
      <c r="T32" s="206"/>
      <c r="U32" s="45"/>
      <c r="V32" s="45"/>
      <c r="W32" s="206"/>
      <c r="X32" s="206"/>
      <c r="Y32" s="206"/>
      <c r="Z32" s="206"/>
      <c r="AA32" s="45"/>
    </row>
    <row r="33" spans="1:28" ht="23.25" thickBot="1">
      <c r="A33" s="235"/>
      <c r="B33" s="235"/>
      <c r="C33" s="235"/>
      <c r="D33" s="235"/>
      <c r="E33" s="76">
        <f>SUM(E7:E32)</f>
        <v>81426428252</v>
      </c>
      <c r="F33" s="16"/>
      <c r="G33" s="76">
        <f>SUM(G7:G32)</f>
        <v>78109505909</v>
      </c>
      <c r="H33" s="16"/>
      <c r="I33" s="76">
        <f>SUM(I7:I32)</f>
        <v>3316922343</v>
      </c>
      <c r="J33" s="31"/>
      <c r="K33" s="16"/>
      <c r="L33" s="31"/>
      <c r="M33" s="76">
        <f>SUM(M7:M32)</f>
        <v>81426428252</v>
      </c>
      <c r="N33" s="16"/>
      <c r="O33" s="76">
        <f>SUM(O7:O32)</f>
        <v>79909949776</v>
      </c>
      <c r="P33" s="16"/>
      <c r="Q33" s="76">
        <f>SUM(Q7:Q32)</f>
        <v>1516478476</v>
      </c>
      <c r="R33" s="229"/>
      <c r="S33" s="229"/>
      <c r="T33" s="229"/>
      <c r="AA33" s="17"/>
      <c r="AB33" s="153"/>
    </row>
    <row r="34" spans="1:28" ht="23.25" thickTop="1">
      <c r="A34" s="170"/>
      <c r="B34" s="170"/>
      <c r="C34" s="176"/>
      <c r="D34" s="170"/>
      <c r="E34" s="52"/>
      <c r="F34" s="31"/>
      <c r="G34" s="52"/>
      <c r="H34" s="31"/>
      <c r="I34" s="52"/>
      <c r="J34" s="31"/>
      <c r="K34" s="176"/>
      <c r="L34" s="31"/>
      <c r="M34" s="52"/>
      <c r="N34" s="31"/>
      <c r="O34" s="52"/>
      <c r="P34" s="31"/>
      <c r="Q34" s="52"/>
      <c r="R34" s="229"/>
      <c r="S34" s="229"/>
      <c r="T34" s="229"/>
      <c r="AA34" s="17"/>
      <c r="AB34" s="153"/>
    </row>
    <row r="35" spans="1:28" ht="22.5">
      <c r="A35" s="170"/>
      <c r="B35" s="170"/>
      <c r="C35" s="176"/>
      <c r="D35" s="170"/>
      <c r="E35" s="52"/>
      <c r="F35" s="31"/>
      <c r="G35" s="52"/>
      <c r="H35" s="31"/>
      <c r="I35" s="52"/>
      <c r="J35" s="31"/>
      <c r="K35" s="176"/>
      <c r="L35" s="31"/>
      <c r="M35" s="52"/>
      <c r="N35" s="31"/>
      <c r="O35" s="52"/>
      <c r="P35" s="31"/>
      <c r="Q35" s="52"/>
      <c r="R35" s="229"/>
      <c r="S35" s="229"/>
      <c r="T35" s="229"/>
      <c r="AA35" s="17"/>
      <c r="AB35" s="153"/>
    </row>
    <row r="36" spans="1:28" ht="7.5" customHeight="1">
      <c r="A36" s="170"/>
      <c r="B36" s="170"/>
      <c r="AA36" s="17"/>
      <c r="AB36" s="153"/>
    </row>
    <row r="37" spans="1:28" ht="24.75" customHeight="1">
      <c r="A37" s="356" t="s">
        <v>40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8"/>
      <c r="AB37" s="153"/>
    </row>
    <row r="38" spans="1:28">
      <c r="Q38" s="236"/>
    </row>
    <row r="39" spans="1:28" s="16" customFormat="1"/>
    <row r="40" spans="1:28" s="16" customFormat="1">
      <c r="I40" s="264"/>
      <c r="Q40" s="264"/>
    </row>
    <row r="41" spans="1:28" s="16" customFormat="1"/>
    <row r="42" spans="1:28" s="16" customFormat="1"/>
    <row r="43" spans="1:28" s="16" customFormat="1"/>
    <row r="44" spans="1:28" s="32" customFormat="1" ht="24">
      <c r="I44" s="16"/>
      <c r="Q44" s="16"/>
    </row>
    <row r="45" spans="1:28" s="32" customFormat="1" ht="24"/>
    <row r="46" spans="1:28" s="32" customFormat="1" ht="24"/>
    <row r="47" spans="1:28">
      <c r="A47" s="16"/>
      <c r="C47" s="229"/>
      <c r="D47" s="202"/>
      <c r="E47" s="202"/>
      <c r="F47" s="202"/>
      <c r="G47" s="202"/>
      <c r="H47" s="202"/>
      <c r="I47" s="229"/>
      <c r="J47" s="202"/>
      <c r="K47" s="229"/>
      <c r="L47" s="202"/>
      <c r="M47" s="231"/>
      <c r="N47" s="202"/>
      <c r="O47" s="202"/>
      <c r="P47" s="202"/>
      <c r="Q47" s="229"/>
    </row>
    <row r="48" spans="1:28" ht="24">
      <c r="A48" s="237"/>
      <c r="C48" s="16"/>
      <c r="D48" s="16"/>
      <c r="E48" s="238"/>
      <c r="F48" s="16"/>
      <c r="G48" s="239"/>
      <c r="H48" s="16"/>
      <c r="I48" s="16"/>
      <c r="J48" s="16"/>
      <c r="K48" s="16"/>
      <c r="L48" s="16"/>
      <c r="M48" s="34"/>
      <c r="N48" s="16"/>
      <c r="O48" s="16"/>
      <c r="P48" s="16"/>
      <c r="Q48" s="16"/>
    </row>
    <row r="49" spans="9:17" s="32" customFormat="1" ht="24">
      <c r="I49" s="26"/>
      <c r="J49" s="34"/>
      <c r="K49" s="34"/>
      <c r="L49" s="34"/>
      <c r="M49" s="34"/>
      <c r="N49" s="34"/>
      <c r="O49" s="34"/>
      <c r="P49" s="34"/>
      <c r="Q49" s="26"/>
    </row>
    <row r="50" spans="9:17" s="32" customFormat="1" ht="24">
      <c r="I50" s="16"/>
      <c r="Q50" s="16"/>
    </row>
    <row r="51" spans="9:17" s="32" customFormat="1" ht="24">
      <c r="I51" s="26"/>
      <c r="Q51" s="26"/>
    </row>
    <row r="52" spans="9:17" s="32" customFormat="1" ht="24"/>
    <row r="53" spans="9:17" s="32" customFormat="1" ht="24"/>
    <row r="54" spans="9:17" s="32" customFormat="1" ht="24"/>
    <row r="55" spans="9:17" s="32" customFormat="1" ht="24"/>
    <row r="56" spans="9:17" s="32" customFormat="1" ht="24"/>
    <row r="57" spans="9:17" s="32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7:Q37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2024-09-28T08:38:48Z</dcterms:modified>
</cp:coreProperties>
</file>