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W:\fund\8 صندوق با تضمین کیان\گزارش ماهانه\1403\4- تیر\"/>
    </mc:Choice>
  </mc:AlternateContent>
  <xr:revisionPtr revIDLastSave="0" documentId="13_ncr:1_{1B0D28A3-FF37-4E75-8965-802DAADDBD02}" xr6:coauthVersionLast="47" xr6:coauthVersionMax="47" xr10:uidLastSave="{00000000-0000-0000-0000-000000000000}"/>
  <bookViews>
    <workbookView xWindow="-120" yWindow="-120" windowWidth="29040" windowHeight="15840" tabRatio="916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20" r:id="rId4"/>
    <sheet name="سپرده" sheetId="2" r:id="rId5"/>
    <sheet name="درآمدها" sheetId="11" r:id="rId6"/>
    <sheet name="درآمد سرمایه گذاری در سهام " sheetId="5" r:id="rId7"/>
    <sheet name="درآمد سرمایه گذاری در اوراق بها" sheetId="6" r:id="rId8"/>
    <sheet name="درآمد سپرده بانکی" sheetId="7" r:id="rId9"/>
    <sheet name="سایر درآمدها" sheetId="8" r:id="rId10"/>
    <sheet name="درآمد سود سهام" sheetId="18" r:id="rId11"/>
    <sheet name="سود اوراق بهادار" sheetId="13" r:id="rId12"/>
    <sheet name="سود سپرده بانکی" sheetId="21" r:id="rId13"/>
    <sheet name="درآمد ناشی ازفروش" sheetId="15" r:id="rId14"/>
    <sheet name="درآمد ناشی از تغییر قیمت  " sheetId="14" r:id="rId15"/>
  </sheets>
  <definedNames>
    <definedName name="_xlnm._FilterDatabase" localSheetId="1" hidden="1">' سهام'!$A$9:$W$9</definedName>
    <definedName name="_xlnm._FilterDatabase" localSheetId="3" hidden="1">'تعدیل اوراق'!$A$9:$M$9</definedName>
    <definedName name="_xlnm._FilterDatabase" localSheetId="8" hidden="1">'درآمد سپرده بانکی'!$A$7:$J$7</definedName>
    <definedName name="_xlnm._FilterDatabase" localSheetId="7" hidden="1">'درآمد سرمایه گذاری در اوراق بها'!$A$9:$Q$9</definedName>
    <definedName name="_xlnm._FilterDatabase" localSheetId="6" hidden="1">'درآمد سرمایه گذاری در سهام '!$W$10:$X$30</definedName>
    <definedName name="_xlnm._FilterDatabase" localSheetId="10" hidden="1">'درآمد سود سهام'!$A$7:$S$7</definedName>
    <definedName name="_xlnm._FilterDatabase" localSheetId="14" hidden="1">'درآمد ناشی از تغییر قیمت  '!$A$6:$Q$6</definedName>
    <definedName name="_xlnm._FilterDatabase" localSheetId="13" hidden="1">'درآمد ناشی ازفروش'!$A$6:$Q$6</definedName>
    <definedName name="_xlnm._FilterDatabase" localSheetId="4" hidden="1">سپرده!$A$8:$K$8</definedName>
    <definedName name="_xlnm._FilterDatabase" localSheetId="11" hidden="1">'سود اوراق بهادار'!$A$6:$R$6</definedName>
    <definedName name="_xlnm._FilterDatabase" localSheetId="12" hidden="1">'سود سپرده بانکی'!$A$6:$L$6</definedName>
    <definedName name="a">#REF!</definedName>
    <definedName name="bb">#REF!</definedName>
    <definedName name="_xlnm.Print_Area" localSheetId="1">' سهام'!$A$1:$W$31</definedName>
    <definedName name="_xlnm.Print_Area" localSheetId="2">اوراق!$A$1:$AG$13</definedName>
    <definedName name="_xlnm.Print_Area" localSheetId="3">'تعدیل اوراق'!$A$1:$M$11</definedName>
    <definedName name="_xlnm.Print_Area" localSheetId="8">'درآمد سپرده بانکی'!$A$1:$J$12</definedName>
    <definedName name="_xlnm.Print_Area" localSheetId="7">'درآمد سرمایه گذاری در اوراق بها'!$A$1:$Q$16</definedName>
    <definedName name="_xlnm.Print_Area" localSheetId="6">'درآمد سرمایه گذاری در سهام '!$A$1:$U$40</definedName>
    <definedName name="_xlnm.Print_Area" localSheetId="10">'درآمد سود سهام'!$A$1:$S$28</definedName>
    <definedName name="_xlnm.Print_Area" localSheetId="14">'درآمد ناشی از تغییر قیمت  '!$A$1:$Q$35</definedName>
    <definedName name="_xlnm.Print_Area" localSheetId="13">'درآمد ناشی ازفروش'!$A$1:$Q$44</definedName>
    <definedName name="_xlnm.Print_Area" localSheetId="5">درآمدها!$A$1:$I$13</definedName>
    <definedName name="_xlnm.Print_Area" localSheetId="0">روکش!$A$1:$J$36</definedName>
    <definedName name="_xlnm.Print_Area" localSheetId="9">'سایر درآمدها'!$A$1:$E$12</definedName>
    <definedName name="_xlnm.Print_Area" localSheetId="4">سپرده!$A$1:$K$14</definedName>
    <definedName name="_xlnm.Print_Area" localSheetId="11">'سود اوراق بهادار'!$A$1:$R$12</definedName>
    <definedName name="_xlnm.Print_Area" localSheetId="12">'سود سپرده بانکی'!$A$1:$L$12</definedName>
    <definedName name="_xlnm.Print_Titles" localSheetId="1">' سهام'!$7:$9</definedName>
    <definedName name="_xlnm.Print_Titles" localSheetId="6">'درآمد سرمایه گذاری در سهام '!$7:$10</definedName>
    <definedName name="_xlnm.Print_Titles" localSheetId="14">'درآمد ناشی از تغییر قیمت  '!$5:$6</definedName>
    <definedName name="_xlnm.Print_Titles" localSheetId="13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8" l="1"/>
  <c r="S10" i="18"/>
  <c r="S11" i="18"/>
  <c r="S12" i="18"/>
  <c r="S13" i="18"/>
  <c r="S14" i="18"/>
  <c r="S26" i="18" s="1"/>
  <c r="S15" i="18"/>
  <c r="S16" i="18"/>
  <c r="S17" i="18"/>
  <c r="S18" i="18"/>
  <c r="S19" i="18"/>
  <c r="S20" i="18"/>
  <c r="S21" i="18"/>
  <c r="S22" i="18"/>
  <c r="S23" i="18"/>
  <c r="S24" i="18"/>
  <c r="S25" i="18"/>
  <c r="S8" i="18"/>
  <c r="M9" i="18"/>
  <c r="M26" i="18" s="1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8" i="18"/>
  <c r="AG10" i="17"/>
  <c r="AG11" i="17"/>
  <c r="AG9" i="17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10" i="1"/>
  <c r="O30" i="14"/>
  <c r="G30" i="14"/>
  <c r="O39" i="15"/>
  <c r="M39" i="15"/>
  <c r="G39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7" i="15"/>
  <c r="L8" i="21"/>
  <c r="L9" i="21"/>
  <c r="L10" i="21" s="1"/>
  <c r="L7" i="21"/>
  <c r="F8" i="21"/>
  <c r="F9" i="21"/>
  <c r="F10" i="21" s="1"/>
  <c r="F7" i="21"/>
  <c r="J10" i="21"/>
  <c r="H10" i="21"/>
  <c r="D10" i="21"/>
  <c r="B10" i="21"/>
  <c r="Q26" i="18"/>
  <c r="O26" i="18"/>
  <c r="K26" i="18"/>
  <c r="I26" i="18"/>
  <c r="E11" i="8"/>
  <c r="C11" i="8"/>
  <c r="K15" i="6"/>
  <c r="C15" i="6"/>
  <c r="K12" i="2"/>
  <c r="I12" i="2"/>
  <c r="G12" i="2"/>
  <c r="E12" i="2"/>
  <c r="C12" i="2"/>
  <c r="AG12" i="17"/>
  <c r="AE12" i="17"/>
  <c r="AC12" i="17"/>
  <c r="W12" i="17"/>
  <c r="T12" i="17"/>
  <c r="Q12" i="17"/>
  <c r="O12" i="17"/>
  <c r="Q39" i="15" l="1"/>
  <c r="U30" i="1"/>
  <c r="S30" i="1"/>
  <c r="M30" i="1"/>
  <c r="J30" i="1"/>
  <c r="G30" i="1"/>
  <c r="E30" i="1"/>
  <c r="M13" i="5" l="1"/>
  <c r="M14" i="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7" i="15"/>
  <c r="O9" i="18"/>
  <c r="O22" i="18"/>
  <c r="O8" i="18"/>
  <c r="O25" i="18"/>
  <c r="O19" i="18"/>
  <c r="Y6" i="17" l="1"/>
  <c r="M6" i="17"/>
  <c r="C8" i="7"/>
  <c r="C9" i="7"/>
  <c r="C10" i="7"/>
  <c r="E11" i="6"/>
  <c r="E12" i="6"/>
  <c r="G14" i="6"/>
  <c r="E30" i="15"/>
  <c r="I30" i="15" s="1"/>
  <c r="E31" i="15"/>
  <c r="I31" i="15" s="1"/>
  <c r="E32" i="15"/>
  <c r="I32" i="15" s="1"/>
  <c r="E33" i="15"/>
  <c r="I33" i="15" s="1"/>
  <c r="O10" i="18"/>
  <c r="O11" i="18"/>
  <c r="O12" i="18"/>
  <c r="O13" i="18"/>
  <c r="O14" i="18"/>
  <c r="O15" i="18"/>
  <c r="O16" i="18"/>
  <c r="O17" i="18"/>
  <c r="O18" i="18"/>
  <c r="O20" i="18"/>
  <c r="O21" i="18"/>
  <c r="O23" i="18"/>
  <c r="O24" i="18"/>
  <c r="C11" i="7" l="1"/>
  <c r="C10" i="6"/>
  <c r="A3" i="14"/>
  <c r="A3" i="15"/>
  <c r="A3" i="21"/>
  <c r="A3" i="13"/>
  <c r="A3" i="18"/>
  <c r="E10" i="7" l="1"/>
  <c r="E8" i="7"/>
  <c r="E9" i="7"/>
  <c r="O12" i="5"/>
  <c r="O16" i="5"/>
  <c r="O22" i="5"/>
  <c r="O30" i="5"/>
  <c r="O33" i="5"/>
  <c r="O34" i="5"/>
  <c r="O38" i="5"/>
  <c r="E12" i="5"/>
  <c r="E16" i="5"/>
  <c r="E22" i="5"/>
  <c r="E30" i="5"/>
  <c r="E33" i="5"/>
  <c r="E34" i="5"/>
  <c r="E38" i="5"/>
  <c r="C11" i="5"/>
  <c r="C12" i="5"/>
  <c r="C16" i="5"/>
  <c r="E36" i="15"/>
  <c r="E37" i="15"/>
  <c r="E38" i="15"/>
  <c r="E35" i="15"/>
  <c r="C36" i="15"/>
  <c r="C37" i="15"/>
  <c r="C38" i="15"/>
  <c r="C35" i="15"/>
  <c r="M12" i="14"/>
  <c r="Q12" i="14" s="1"/>
  <c r="M13" i="14"/>
  <c r="Q13" i="14" s="1"/>
  <c r="M14" i="14"/>
  <c r="Q14" i="14" s="1"/>
  <c r="M15" i="14"/>
  <c r="Q15" i="14" s="1"/>
  <c r="M16" i="14"/>
  <c r="Q16" i="14" s="1"/>
  <c r="M17" i="14"/>
  <c r="Q17" i="14" s="1"/>
  <c r="M18" i="14"/>
  <c r="Q18" i="14" s="1"/>
  <c r="M19" i="14"/>
  <c r="Q19" i="14" s="1"/>
  <c r="M20" i="14"/>
  <c r="Q20" i="14" s="1"/>
  <c r="M21" i="14"/>
  <c r="Q21" i="14" s="1"/>
  <c r="M22" i="14"/>
  <c r="Q22" i="14" s="1"/>
  <c r="M23" i="14"/>
  <c r="Q23" i="14" s="1"/>
  <c r="M24" i="14"/>
  <c r="Q24" i="14" s="1"/>
  <c r="M25" i="14"/>
  <c r="Q25" i="14" s="1"/>
  <c r="M26" i="14"/>
  <c r="Q26" i="14" s="1"/>
  <c r="M7" i="14"/>
  <c r="M8" i="14"/>
  <c r="Q8" i="14" s="1"/>
  <c r="M9" i="14"/>
  <c r="Q9" i="14" s="1"/>
  <c r="M10" i="14"/>
  <c r="Q10" i="14" s="1"/>
  <c r="M11" i="14"/>
  <c r="Q11" i="14" s="1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7" i="14"/>
  <c r="K8" i="14"/>
  <c r="K9" i="14"/>
  <c r="K10" i="14"/>
  <c r="K11" i="14"/>
  <c r="E12" i="14"/>
  <c r="I12" i="14" s="1"/>
  <c r="E13" i="14"/>
  <c r="I13" i="14" s="1"/>
  <c r="E14" i="14"/>
  <c r="I14" i="14" s="1"/>
  <c r="E15" i="14"/>
  <c r="I15" i="14" s="1"/>
  <c r="E16" i="14"/>
  <c r="I16" i="14" s="1"/>
  <c r="E17" i="14"/>
  <c r="I17" i="14" s="1"/>
  <c r="E18" i="14"/>
  <c r="I18" i="14" s="1"/>
  <c r="E19" i="14"/>
  <c r="I19" i="14" s="1"/>
  <c r="E20" i="14"/>
  <c r="I20" i="14" s="1"/>
  <c r="E21" i="14"/>
  <c r="I21" i="14" s="1"/>
  <c r="E22" i="14"/>
  <c r="I22" i="14" s="1"/>
  <c r="E23" i="14"/>
  <c r="I23" i="14" s="1"/>
  <c r="E24" i="14"/>
  <c r="I24" i="14" s="1"/>
  <c r="E25" i="14"/>
  <c r="I25" i="14" s="1"/>
  <c r="E26" i="14"/>
  <c r="I26" i="14" s="1"/>
  <c r="E7" i="14"/>
  <c r="E8" i="14"/>
  <c r="I8" i="14" s="1"/>
  <c r="E9" i="14"/>
  <c r="I9" i="14" s="1"/>
  <c r="E10" i="14"/>
  <c r="I10" i="14" s="1"/>
  <c r="E11" i="14"/>
  <c r="I11" i="14" s="1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7" i="14"/>
  <c r="M27" i="14"/>
  <c r="Q27" i="14" s="1"/>
  <c r="M28" i="14"/>
  <c r="Q28" i="14" s="1"/>
  <c r="M29" i="14"/>
  <c r="Q29" i="14" s="1"/>
  <c r="K27" i="14"/>
  <c r="K28" i="14"/>
  <c r="K29" i="14"/>
  <c r="E27" i="14"/>
  <c r="I27" i="14" s="1"/>
  <c r="E28" i="14"/>
  <c r="I28" i="14" s="1"/>
  <c r="E29" i="14"/>
  <c r="I29" i="14" s="1"/>
  <c r="C27" i="14"/>
  <c r="C28" i="14"/>
  <c r="C29" i="14"/>
  <c r="E8" i="15"/>
  <c r="E9" i="15"/>
  <c r="I9" i="15" s="1"/>
  <c r="E10" i="15"/>
  <c r="I10" i="15" s="1"/>
  <c r="G21" i="5" s="1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G35" i="5"/>
  <c r="E34" i="15"/>
  <c r="I34" i="15" s="1"/>
  <c r="E7" i="15"/>
  <c r="Q26" i="5"/>
  <c r="Q21" i="5"/>
  <c r="Q17" i="5"/>
  <c r="Q24" i="5"/>
  <c r="Q20" i="5"/>
  <c r="Q23" i="5"/>
  <c r="Q19" i="5"/>
  <c r="Q12" i="5"/>
  <c r="Q28" i="5"/>
  <c r="Q33" i="5"/>
  <c r="Q27" i="5"/>
  <c r="Q34" i="5"/>
  <c r="Q30" i="5"/>
  <c r="Q22" i="5"/>
  <c r="Q14" i="5"/>
  <c r="Q16" i="5"/>
  <c r="Q31" i="5"/>
  <c r="Q25" i="5"/>
  <c r="Q29" i="5"/>
  <c r="Q36" i="5"/>
  <c r="Q32" i="5"/>
  <c r="Q35" i="5"/>
  <c r="Q38" i="5"/>
  <c r="C13" i="5"/>
  <c r="C15" i="5"/>
  <c r="E11" i="7" l="1"/>
  <c r="G12" i="6"/>
  <c r="I12" i="6" s="1"/>
  <c r="I35" i="15"/>
  <c r="I38" i="15"/>
  <c r="G13" i="6" s="1"/>
  <c r="I37" i="15"/>
  <c r="G11" i="6" s="1"/>
  <c r="I36" i="15"/>
  <c r="G10" i="6" s="1"/>
  <c r="I26" i="15"/>
  <c r="G25" i="5" s="1"/>
  <c r="I8" i="15"/>
  <c r="G18" i="5" s="1"/>
  <c r="I25" i="15"/>
  <c r="G31" i="5" s="1"/>
  <c r="I19" i="15"/>
  <c r="G27" i="5" s="1"/>
  <c r="I13" i="15"/>
  <c r="G20" i="5" s="1"/>
  <c r="I21" i="15"/>
  <c r="G30" i="5" s="1"/>
  <c r="I24" i="15"/>
  <c r="G16" i="5" s="1"/>
  <c r="I16" i="5" s="1"/>
  <c r="K16" i="5" s="1"/>
  <c r="I18" i="15"/>
  <c r="G33" i="5" s="1"/>
  <c r="I12" i="15"/>
  <c r="G24" i="5" s="1"/>
  <c r="I15" i="15"/>
  <c r="G19" i="5" s="1"/>
  <c r="I20" i="15"/>
  <c r="G34" i="5" s="1"/>
  <c r="I29" i="15"/>
  <c r="G32" i="5" s="1"/>
  <c r="I23" i="15"/>
  <c r="G14" i="5" s="1"/>
  <c r="I17" i="15"/>
  <c r="G28" i="5" s="1"/>
  <c r="I11" i="15"/>
  <c r="G17" i="5" s="1"/>
  <c r="I27" i="15"/>
  <c r="G29" i="5" s="1"/>
  <c r="I7" i="15"/>
  <c r="E39" i="15"/>
  <c r="I14" i="15"/>
  <c r="G23" i="5" s="1"/>
  <c r="I28" i="15"/>
  <c r="G36" i="5" s="1"/>
  <c r="I22" i="15"/>
  <c r="G22" i="5" s="1"/>
  <c r="I16" i="15"/>
  <c r="G12" i="5" s="1"/>
  <c r="I12" i="5" s="1"/>
  <c r="K12" i="5" s="1"/>
  <c r="M30" i="14"/>
  <c r="Q7" i="14"/>
  <c r="Q30" i="14" s="1"/>
  <c r="I7" i="14"/>
  <c r="I30" i="14" s="1"/>
  <c r="E30" i="14"/>
  <c r="G26" i="5"/>
  <c r="Q18" i="5"/>
  <c r="G38" i="5"/>
  <c r="G11" i="5"/>
  <c r="Q11" i="5"/>
  <c r="Q13" i="5"/>
  <c r="Q37" i="5"/>
  <c r="G13" i="5"/>
  <c r="G37" i="5"/>
  <c r="C14" i="5"/>
  <c r="K5" i="14"/>
  <c r="K5" i="15"/>
  <c r="H5" i="21"/>
  <c r="N6" i="13"/>
  <c r="E5" i="8"/>
  <c r="G6" i="7"/>
  <c r="C5" i="14"/>
  <c r="C5" i="15"/>
  <c r="B5" i="21"/>
  <c r="H6" i="13"/>
  <c r="C5" i="8"/>
  <c r="C6" i="6"/>
  <c r="K6" i="6"/>
  <c r="C6" i="7"/>
  <c r="O14" i="6"/>
  <c r="O13" i="6"/>
  <c r="O12" i="6"/>
  <c r="O11" i="6"/>
  <c r="O10" i="6"/>
  <c r="K11" i="6"/>
  <c r="K12" i="6"/>
  <c r="K13" i="6"/>
  <c r="K14" i="6"/>
  <c r="K10" i="6"/>
  <c r="C11" i="6"/>
  <c r="C12" i="6"/>
  <c r="C13" i="6"/>
  <c r="C14" i="6"/>
  <c r="M38" i="5"/>
  <c r="S38" i="5" s="1"/>
  <c r="U38" i="5" s="1"/>
  <c r="M19" i="5"/>
  <c r="M22" i="5"/>
  <c r="S22" i="5" s="1"/>
  <c r="U22" i="5" s="1"/>
  <c r="M23" i="5"/>
  <c r="M25" i="5"/>
  <c r="M26" i="5"/>
  <c r="M28" i="5"/>
  <c r="M29" i="5"/>
  <c r="M30" i="5"/>
  <c r="S30" i="5" s="1"/>
  <c r="U30" i="5" s="1"/>
  <c r="M33" i="5"/>
  <c r="S33" i="5" s="1"/>
  <c r="U33" i="5" s="1"/>
  <c r="M34" i="5"/>
  <c r="S34" i="5" s="1"/>
  <c r="U34" i="5" s="1"/>
  <c r="M36" i="5"/>
  <c r="M12" i="5"/>
  <c r="S12" i="5" s="1"/>
  <c r="U12" i="5" s="1"/>
  <c r="M16" i="5"/>
  <c r="S16" i="5" s="1"/>
  <c r="U16" i="5" s="1"/>
  <c r="M17" i="5"/>
  <c r="M11" i="5"/>
  <c r="C28" i="5"/>
  <c r="C29" i="5"/>
  <c r="C30" i="5"/>
  <c r="C31" i="5"/>
  <c r="C32" i="5"/>
  <c r="C33" i="5"/>
  <c r="C34" i="5"/>
  <c r="C35" i="5"/>
  <c r="C36" i="5"/>
  <c r="C37" i="5"/>
  <c r="C38" i="5"/>
  <c r="C22" i="5"/>
  <c r="C23" i="5"/>
  <c r="C24" i="5"/>
  <c r="C25" i="5"/>
  <c r="C26" i="5"/>
  <c r="C27" i="5"/>
  <c r="C17" i="5"/>
  <c r="C18" i="5"/>
  <c r="C19" i="5"/>
  <c r="C20" i="5"/>
  <c r="C21" i="5"/>
  <c r="Q9" i="13"/>
  <c r="P9" i="13"/>
  <c r="N9" i="13"/>
  <c r="J9" i="13"/>
  <c r="H9" i="13"/>
  <c r="R8" i="13"/>
  <c r="R9" i="13" s="1"/>
  <c r="L8" i="13"/>
  <c r="L9" i="13" s="1"/>
  <c r="K10" i="21"/>
  <c r="G9" i="7"/>
  <c r="G8" i="7"/>
  <c r="I11" i="6" l="1"/>
  <c r="G15" i="6"/>
  <c r="I34" i="5"/>
  <c r="K34" i="5" s="1"/>
  <c r="I38" i="5"/>
  <c r="K38" i="5" s="1"/>
  <c r="I30" i="5"/>
  <c r="K30" i="5" s="1"/>
  <c r="I39" i="15"/>
  <c r="I22" i="5"/>
  <c r="K22" i="5" s="1"/>
  <c r="I33" i="5"/>
  <c r="K33" i="5" s="1"/>
  <c r="O15" i="6"/>
  <c r="C39" i="5"/>
  <c r="G10" i="7"/>
  <c r="M35" i="5"/>
  <c r="M20" i="5"/>
  <c r="M27" i="5"/>
  <c r="K10" i="2"/>
  <c r="K11" i="2"/>
  <c r="K10" i="20"/>
  <c r="K11" i="20" s="1"/>
  <c r="G11" i="7" l="1"/>
  <c r="M31" i="5"/>
  <c r="M32" i="5"/>
  <c r="M37" i="5"/>
  <c r="M15" i="5"/>
  <c r="M21" i="5"/>
  <c r="Q15" i="5"/>
  <c r="Q39" i="5" s="1"/>
  <c r="K9" i="2"/>
  <c r="A3" i="20"/>
  <c r="A3" i="2"/>
  <c r="I8" i="7" l="1"/>
  <c r="I9" i="7"/>
  <c r="I10" i="7"/>
  <c r="W30" i="1"/>
  <c r="O25" i="5"/>
  <c r="S25" i="5" s="1"/>
  <c r="U25" i="5" s="1"/>
  <c r="M11" i="6"/>
  <c r="Q11" i="6" s="1"/>
  <c r="M13" i="6"/>
  <c r="Q13" i="6" s="1"/>
  <c r="O13" i="5"/>
  <c r="S13" i="5" s="1"/>
  <c r="U13" i="5" s="1"/>
  <c r="O14" i="5"/>
  <c r="S14" i="5" s="1"/>
  <c r="U14" i="5" s="1"/>
  <c r="O15" i="5"/>
  <c r="S15" i="5" s="1"/>
  <c r="E14" i="5"/>
  <c r="I14" i="5" s="1"/>
  <c r="K14" i="5" s="1"/>
  <c r="E15" i="5"/>
  <c r="E11" i="5"/>
  <c r="I11" i="5" l="1"/>
  <c r="K11" i="5" s="1"/>
  <c r="I11" i="7"/>
  <c r="U15" i="5"/>
  <c r="O20" i="5"/>
  <c r="S20" i="5" s="1"/>
  <c r="U20" i="5" s="1"/>
  <c r="O23" i="5"/>
  <c r="S23" i="5" s="1"/>
  <c r="U23" i="5" s="1"/>
  <c r="O19" i="5"/>
  <c r="S19" i="5" s="1"/>
  <c r="U19" i="5" s="1"/>
  <c r="O24" i="5"/>
  <c r="M14" i="6"/>
  <c r="Q14" i="6" s="1"/>
  <c r="M10" i="6"/>
  <c r="O26" i="5"/>
  <c r="S26" i="5" s="1"/>
  <c r="U26" i="5" s="1"/>
  <c r="O21" i="5"/>
  <c r="S21" i="5" s="1"/>
  <c r="U21" i="5" s="1"/>
  <c r="M12" i="6"/>
  <c r="Q12" i="6" s="1"/>
  <c r="E13" i="5"/>
  <c r="I13" i="5" s="1"/>
  <c r="K13" i="5" s="1"/>
  <c r="O11" i="5"/>
  <c r="G15" i="5"/>
  <c r="O37" i="5"/>
  <c r="S37" i="5" s="1"/>
  <c r="U37" i="5" s="1"/>
  <c r="O36" i="5"/>
  <c r="S36" i="5" s="1"/>
  <c r="U36" i="5" s="1"/>
  <c r="E14" i="6"/>
  <c r="I14" i="6" s="1"/>
  <c r="E10" i="6"/>
  <c r="E25" i="5"/>
  <c r="I25" i="5" s="1"/>
  <c r="K25" i="5" s="1"/>
  <c r="E37" i="5"/>
  <c r="I37" i="5" s="1"/>
  <c r="K37" i="5" s="1"/>
  <c r="E17" i="5"/>
  <c r="I17" i="5" s="1"/>
  <c r="K17" i="5" s="1"/>
  <c r="O17" i="5"/>
  <c r="S17" i="5" s="1"/>
  <c r="U17" i="5" s="1"/>
  <c r="E28" i="5"/>
  <c r="I28" i="5" s="1"/>
  <c r="K28" i="5" s="1"/>
  <c r="O27" i="5"/>
  <c r="S27" i="5" s="1"/>
  <c r="U27" i="5" s="1"/>
  <c r="E32" i="5"/>
  <c r="I32" i="5" s="1"/>
  <c r="K32" i="5" s="1"/>
  <c r="O35" i="5"/>
  <c r="S35" i="5" s="1"/>
  <c r="U35" i="5" s="1"/>
  <c r="O32" i="5"/>
  <c r="S32" i="5" s="1"/>
  <c r="U32" i="5" s="1"/>
  <c r="E31" i="5"/>
  <c r="I31" i="5" s="1"/>
  <c r="K31" i="5" s="1"/>
  <c r="M15" i="6" l="1"/>
  <c r="Q10" i="6"/>
  <c r="Q15" i="6" s="1"/>
  <c r="I10" i="6"/>
  <c r="S11" i="5"/>
  <c r="U11" i="5" s="1"/>
  <c r="I15" i="5"/>
  <c r="G39" i="5"/>
  <c r="E26" i="5"/>
  <c r="I26" i="5" s="1"/>
  <c r="K26" i="5" s="1"/>
  <c r="O31" i="5"/>
  <c r="S31" i="5" s="1"/>
  <c r="U31" i="5" s="1"/>
  <c r="O29" i="5"/>
  <c r="S29" i="5" s="1"/>
  <c r="U29" i="5" s="1"/>
  <c r="E24" i="5"/>
  <c r="I24" i="5" s="1"/>
  <c r="K24" i="5" s="1"/>
  <c r="E21" i="5"/>
  <c r="I21" i="5" s="1"/>
  <c r="K21" i="5" s="1"/>
  <c r="E13" i="6"/>
  <c r="I13" i="6" s="1"/>
  <c r="E19" i="5"/>
  <c r="I19" i="5" s="1"/>
  <c r="K19" i="5" s="1"/>
  <c r="O28" i="5"/>
  <c r="S28" i="5" s="1"/>
  <c r="U28" i="5" s="1"/>
  <c r="E20" i="5"/>
  <c r="I20" i="5" s="1"/>
  <c r="K20" i="5" s="1"/>
  <c r="E29" i="5"/>
  <c r="I29" i="5" s="1"/>
  <c r="K29" i="5" s="1"/>
  <c r="E23" i="5"/>
  <c r="I23" i="5" s="1"/>
  <c r="K23" i="5" s="1"/>
  <c r="E27" i="5"/>
  <c r="I27" i="5" s="1"/>
  <c r="K27" i="5" s="1"/>
  <c r="E35" i="5"/>
  <c r="I35" i="5" s="1"/>
  <c r="K35" i="5" s="1"/>
  <c r="O18" i="5"/>
  <c r="E18" i="5"/>
  <c r="I18" i="5" s="1"/>
  <c r="K18" i="5" s="1"/>
  <c r="E36" i="5"/>
  <c r="I36" i="5" s="1"/>
  <c r="K36" i="5" s="1"/>
  <c r="O39" i="5" l="1"/>
  <c r="I15" i="6"/>
  <c r="E15" i="6"/>
  <c r="E39" i="5"/>
  <c r="K15" i="5"/>
  <c r="K39" i="5" s="1"/>
  <c r="I39" i="5"/>
  <c r="E8" i="11"/>
  <c r="I8" i="11" s="1"/>
  <c r="C6" i="2" l="1"/>
  <c r="M18" i="5"/>
  <c r="S18" i="5" l="1"/>
  <c r="M24" i="5"/>
  <c r="S24" i="5" s="1"/>
  <c r="U24" i="5" s="1"/>
  <c r="O6" i="18"/>
  <c r="C8" i="20"/>
  <c r="I6" i="2"/>
  <c r="E5" i="11"/>
  <c r="M39" i="5" l="1"/>
  <c r="U18" i="5"/>
  <c r="U39" i="5" s="1"/>
  <c r="S39" i="5"/>
  <c r="E10" i="11"/>
  <c r="I10" i="11" s="1"/>
  <c r="E9" i="11" l="1"/>
  <c r="I9" i="11" s="1"/>
  <c r="A3" i="17"/>
  <c r="E7" i="11" l="1"/>
  <c r="E11" i="11" l="1"/>
  <c r="I7" i="11"/>
  <c r="I11" i="11" s="1"/>
  <c r="D15" i="6"/>
  <c r="F15" i="6"/>
  <c r="H15" i="6"/>
  <c r="J15" i="6"/>
  <c r="L15" i="6"/>
  <c r="N15" i="6"/>
  <c r="P15" i="6"/>
  <c r="G8" i="11" l="1"/>
  <c r="G9" i="11"/>
  <c r="G10" i="11"/>
  <c r="G7" i="11"/>
  <c r="A3" i="8"/>
  <c r="A3" i="7"/>
  <c r="A3" i="6"/>
  <c r="A3" i="5"/>
  <c r="G11" i="11" l="1"/>
  <c r="A3" i="11"/>
</calcChain>
</file>

<file path=xl/sharedStrings.xml><?xml version="1.0" encoding="utf-8"?>
<sst xmlns="http://schemas.openxmlformats.org/spreadsheetml/2006/main" count="393" uniqueCount="167">
  <si>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</si>
  <si>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</si>
  <si>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</si>
  <si>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</si>
  <si>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</si>
  <si>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</si>
  <si>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</si>
  <si>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</si>
  <si>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</si>
  <si>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</si>
  <si>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</si>
  <si>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</si>
  <si>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</si>
  <si>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</si>
  <si>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</si>
  <si>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</si>
  <si>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</si>
  <si>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</si>
  <si>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</si>
  <si>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</si>
  <si>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</si>
  <si>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</si>
  <si>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</si>
  <si>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</si>
  <si>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</si>
  <si>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</si>
  <si>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</si>
  <si>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</si>
  <si>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</si>
  <si>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</si>
  <si>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</si>
  <si>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</si>
  <si>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</si>
  <si>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</si>
  <si>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</si>
  <si>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</si>
  <si>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</si>
  <si>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</si>
  <si>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</si>
  <si>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</si>
  <si>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</si>
  <si>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</si>
  <si>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</si>
  <si>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</si>
  <si>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</si>
  <si>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</si>
  <si>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</si>
  <si>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</si>
  <si>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</si>
  <si>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</si>
  <si>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</si>
  <si>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</si>
  <si>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</si>
  <si>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</si>
  <si>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</si>
  <si>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</si>
  <si>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</si>
  <si>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</si>
  <si>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</si>
  <si>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</si>
  <si>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</si>
  <si>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</si>
  <si>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</si>
  <si>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</si>
  <si>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</si>
  <si>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</si>
  <si>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</si>
  <si>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</si>
  <si>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</si>
  <si>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</si>
  <si>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</si>
  <si>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</si>
  <si>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</si>
  <si>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</si>
  <si>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</si>
  <si>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</si>
  <si>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</si>
  <si>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</si>
  <si>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</si>
  <si>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</si>
  <si>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</si>
  <si>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</si>
  <si>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</si>
  <si>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</si>
  <si>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دارایی‌ها</t>
  </si>
  <si>
    <t>درآمدها</t>
  </si>
  <si>
    <t>-</t>
  </si>
  <si>
    <t>صندوق سرمایه گذاری با تضمین اصل سرمایه کیان</t>
  </si>
  <si>
    <t>فولاد کاوه جنوب کیش (کاوه)</t>
  </si>
  <si>
    <t>سر. غدیر (وغدیر)</t>
  </si>
  <si>
    <t>صنایع پتروشیمی کرمانشاه (کرماشا)</t>
  </si>
  <si>
    <t>سر. صندوق بازنشستگی (وصندوق)</t>
  </si>
  <si>
    <t>پتروشیمی جم (جم)</t>
  </si>
  <si>
    <t>مبین انرژی خلیج فارس (مبین)</t>
  </si>
  <si>
    <t>توسعه معدنی و صنعتی صبانور (کنور)</t>
  </si>
  <si>
    <t>بانک خاورمیانه (وخاور)</t>
  </si>
  <si>
    <t>پاسارگاد209.8100.15644767.1 -کوتاه مدت</t>
  </si>
  <si>
    <t>درآمد حاصل از سرمایه­گذاری در سهام و حق تقدم سهام و صندوق‌های سرمایه‌گذاری</t>
  </si>
  <si>
    <t>کارمزد ابطال واحدهای سرمایه گذاری</t>
  </si>
  <si>
    <t>سیمان صوفیان (سصوفی)</t>
  </si>
  <si>
    <t>صبا فولاد خلیج فارس (فصبا)</t>
  </si>
  <si>
    <t>بین المللی توسعه صنایع و معادن غدیر (وکغدیر)</t>
  </si>
  <si>
    <t>سیمان آبیک (سآبیک)</t>
  </si>
  <si>
    <t>پتروشیمی تندگویان (شگویا)</t>
  </si>
  <si>
    <t>سیمان خاش (سخاش)</t>
  </si>
  <si>
    <t>سیمان مازندران (سمازن)</t>
  </si>
  <si>
    <t>سپید ماکیان (سپید)</t>
  </si>
  <si>
    <t>مولد نیروگاهی تجارت فارس (بمولد)</t>
  </si>
  <si>
    <t>اسناد خزانه-م1بودجه01-040326 (اخزا101)</t>
  </si>
  <si>
    <t>بلی</t>
  </si>
  <si>
    <t>آهن و فولاد غدیر ایرانیان (فغدیر)</t>
  </si>
  <si>
    <t>گروه مالی صبا تامین (صبا)</t>
  </si>
  <si>
    <t>اسناد خزانه-م3بودجه01-040520 (اخزا103)</t>
  </si>
  <si>
    <t>اسنادخزانه-م7بودجه01-040714 (اخزا107)</t>
  </si>
  <si>
    <t>اسنادخزانه-م1بودجه02-050325 (اخزا201)</t>
  </si>
  <si>
    <t>1401/05/18</t>
  </si>
  <si>
    <t>1402/06/19</t>
  </si>
  <si>
    <t>1404/05/20</t>
  </si>
  <si>
    <t>1405/03/25</t>
  </si>
  <si>
    <t>تعدیل کارمزد کارگزاری</t>
  </si>
  <si>
    <t>A7,اوراق!$A$9:$W$12,22,0)</t>
  </si>
  <si>
    <t>پالایش نفت تبریز (شبریز)</t>
  </si>
  <si>
    <t>آنتی بیوتیک سازی ایران (بیوتیک)</t>
  </si>
  <si>
    <t>سرمایه گذاری و توسعه صنایع سیمان (سیدکو)</t>
  </si>
  <si>
    <t>سر. تامین اجتماعی (شستا)</t>
  </si>
  <si>
    <t>نشاسته و گلوکز آردینه (آردینه)</t>
  </si>
  <si>
    <t>پارس فنر (فنر)</t>
  </si>
  <si>
    <t>اسنادخزانه-م4بودجه01-040917 (اخزا104)</t>
  </si>
  <si>
    <t>1401/12/08</t>
  </si>
  <si>
    <t>1404/09/17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</si>
  <si>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</si>
  <si>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</si>
  <si>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</si>
  <si>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‫تعداد</t>
  </si>
  <si>
    <t>‫قیمت
آخرین معامله</t>
  </si>
  <si>
    <t>‫قیمت تعدیل شده</t>
  </si>
  <si>
    <t>‫درصد تعدیل</t>
  </si>
  <si>
    <t>‫خالص ارزش فروش تعدیل شده</t>
  </si>
  <si>
    <t>‫دلیل تعدیل</t>
  </si>
  <si>
    <t>1403/03/31</t>
  </si>
  <si>
    <t>کاشی سینا (کساوه)</t>
  </si>
  <si>
    <t>تولیدی و صنعتی گوهرفام (شفام)</t>
  </si>
  <si>
    <t>پاسارگاد 209.307.15644767.2</t>
  </si>
  <si>
    <t>1402/12/17</t>
  </si>
  <si>
    <t>1403/02/22</t>
  </si>
  <si>
    <t>1403/02/24</t>
  </si>
  <si>
    <t>1403/03/01</t>
  </si>
  <si>
    <t>1403/03/09</t>
  </si>
  <si>
    <t>1403/03/13</t>
  </si>
  <si>
    <t>1403/03/23</t>
  </si>
  <si>
    <t>1403/03/26</t>
  </si>
  <si>
    <t>مبین انرژی خلیج فارس (حق تقدم) (مبینح)</t>
  </si>
  <si>
    <t>د- سود اوراق بهادار با درآمد ثابت</t>
  </si>
  <si>
    <t>کوتاه مدت خاورمیانه 1005/10/810/707074934</t>
  </si>
  <si>
    <t>نرخ سود</t>
  </si>
  <si>
    <t>1391/03/16</t>
  </si>
  <si>
    <t>1403/04/11</t>
  </si>
  <si>
    <t>1403/04/13</t>
  </si>
  <si>
    <t>1403/04/17</t>
  </si>
  <si>
    <t>1403/04/24</t>
  </si>
  <si>
    <t>1403/04/28</t>
  </si>
  <si>
    <t>1403/04/30</t>
  </si>
  <si>
    <t>منتهی به 1403/04/31</t>
  </si>
  <si>
    <t>برای ماه منتهی به 1403/04/31</t>
  </si>
  <si>
    <t>1403/04/31</t>
  </si>
  <si>
    <t>طی تیر ماه</t>
  </si>
  <si>
    <t>از ابتدای سال مالی تا پایان تیر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</si>
</sst>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(* #,##0.000_);_(* \(#,##0.000\);_(* &quot;-&quot;??_);_(@_)"/>
    <numFmt numFmtId="167" formatCode="_(* #,##0.000000_);_(* \(#,##0.000000\);_(* &quot;-&quot;??_);_(@_)"/>
    <numFmt numFmtId="168" formatCode="_-* #,##0.00_-;_-* #,##0.00\-;_-* &quot;-&quot;??_-;_-@_-"/>
    <numFmt numFmtId="169" formatCode="_-* #,##0.00000000_-;_-* #,##0.00000000\-;_-* &quot;-&quot;??_-;_-@_-"/>
    <numFmt numFmtId="170" formatCode="_-* #,##0_-;_-* #,##0\-;_-* &quot;-&quot;??_-;_-@_-"/>
    <numFmt numFmtId="171" formatCode="_-* #,##0.000000000000_-;_-* #,##0.000000000000\-;_-* &quot;-&quot;??_-;_-@_-"/>
    <numFmt numFmtId="172" formatCode="#,##0.0_);\(#,##0.0\)"/>
    <numFmt numFmtId="173" formatCode="0.0"/>
  </numFmts>
  <fonts count="5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b/>
      <sz val="9"/>
      <color rgb="FF2E2E2E"/>
      <name val="IranSansFaNum"/>
    </font>
    <font>
      <sz val="11"/>
      <color theme="1"/>
      <name val="Tahoma"/>
      <family val="2"/>
    </font>
    <font>
      <b/>
      <sz val="11"/>
      <color rgb="FF2E2E2E"/>
      <name val="IranSansFaNum"/>
    </font>
    <font>
      <sz val="18"/>
      <color theme="1"/>
      <name val="B Mitra"/>
      <charset val="178"/>
    </font>
    <font>
      <b/>
      <sz val="9"/>
      <color rgb="FF00A651"/>
      <name val="IranSansFaNum"/>
    </font>
    <font>
      <sz val="16"/>
      <name val="B Mitra"/>
      <charset val="178"/>
    </font>
    <font>
      <b/>
      <sz val="9"/>
      <color rgb="FFD42020"/>
      <name val="IranSansFaNum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sz val="16"/>
      <color theme="1"/>
      <name val="B Nazanin"/>
      <charset val="178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b/>
      <sz val="12"/>
      <color rgb="FF2E2E2E"/>
      <name val="IranSansFaNum"/>
    </font>
    <font>
      <sz val="14"/>
      <name val="B Mitra"/>
      <charset val="178"/>
    </font>
    <font>
      <b/>
      <sz val="13"/>
      <color rgb="FF000000"/>
      <name val="B Mitra"/>
      <charset val="178"/>
    </font>
    <font>
      <b/>
      <sz val="12"/>
      <color theme="1" tint="0.14999847407452621"/>
      <name val="B Mitra"/>
      <charset val="178"/>
    </font>
    <font>
      <b/>
      <sz val="14"/>
      <color theme="1" tint="0.14999847407452621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168" fontId="2" fillId="0" borderId="0" applyFont="0" applyFill="0" applyBorder="0" applyAlignment="0" applyProtection="0"/>
  </cellStyleXfs>
  <cellXfs count="355">
    <xf numFmtId="0" fontId="0" fillId="0" borderId="0" xfId="0"/>
    <xf numFmtId="0" fontId="12" fillId="0" borderId="0" xfId="0" applyFont="1"/>
    <xf numFmtId="165" fontId="8" fillId="0" borderId="0" xfId="1" applyNumberFormat="1" applyFont="1" applyFill="1"/>
    <xf numFmtId="0" fontId="29" fillId="0" borderId="0" xfId="0" applyFont="1" applyAlignment="1">
      <alignment vertical="center"/>
    </xf>
    <xf numFmtId="164" fontId="4" fillId="0" borderId="0" xfId="1" applyNumberFormat="1" applyFont="1" applyFill="1" applyAlignment="1">
      <alignment vertical="center"/>
    </xf>
    <xf numFmtId="167" fontId="4" fillId="0" borderId="0" xfId="1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vertical="center" wrapText="1" readingOrder="2"/>
    </xf>
    <xf numFmtId="164" fontId="4" fillId="0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 wrapText="1"/>
    </xf>
    <xf numFmtId="164" fontId="18" fillId="0" borderId="1" xfId="1" applyNumberFormat="1" applyFont="1" applyFill="1" applyBorder="1"/>
    <xf numFmtId="164" fontId="18" fillId="0" borderId="0" xfId="1" applyNumberFormat="1" applyFont="1" applyFill="1" applyAlignment="1">
      <alignment vertical="center"/>
    </xf>
    <xf numFmtId="10" fontId="11" fillId="0" borderId="0" xfId="2" applyNumberFormat="1" applyFont="1" applyFill="1" applyAlignment="1">
      <alignment horizontal="center" vertical="center"/>
    </xf>
    <xf numFmtId="10" fontId="11" fillId="0" borderId="8" xfId="2" applyNumberFormat="1" applyFont="1" applyFill="1" applyBorder="1" applyAlignment="1">
      <alignment horizontal="center" vertical="center"/>
    </xf>
    <xf numFmtId="164" fontId="14" fillId="0" borderId="0" xfId="1" applyNumberFormat="1" applyFont="1" applyFill="1"/>
    <xf numFmtId="164" fontId="8" fillId="0" borderId="0" xfId="1" applyNumberFormat="1" applyFont="1" applyFill="1" applyAlignment="1">
      <alignment vertical="center"/>
    </xf>
    <xf numFmtId="164" fontId="12" fillId="0" borderId="0" xfId="1" applyNumberFormat="1" applyFont="1" applyFill="1"/>
    <xf numFmtId="164" fontId="12" fillId="0" borderId="0" xfId="1" applyNumberFormat="1" applyFont="1" applyFill="1" applyAlignment="1"/>
    <xf numFmtId="164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/>
    <xf numFmtId="164" fontId="13" fillId="0" borderId="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/>
    <xf numFmtId="164" fontId="18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38" fillId="0" borderId="0" xfId="1" applyNumberFormat="1" applyFont="1" applyFill="1" applyBorder="1" applyAlignment="1">
      <alignment vertical="center"/>
    </xf>
    <xf numFmtId="164" fontId="38" fillId="0" borderId="0" xfId="1" applyNumberFormat="1" applyFont="1" applyFill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165" fontId="20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Alignment="1">
      <alignment vertical="center"/>
    </xf>
    <xf numFmtId="165" fontId="12" fillId="0" borderId="0" xfId="1" applyNumberFormat="1" applyFont="1" applyFill="1"/>
    <xf numFmtId="165" fontId="13" fillId="0" borderId="0" xfId="1" applyNumberFormat="1" applyFont="1" applyFill="1"/>
    <xf numFmtId="165" fontId="13" fillId="0" borderId="0" xfId="1" applyNumberFormat="1" applyFont="1" applyFill="1" applyAlignment="1">
      <alignment vertical="center"/>
    </xf>
    <xf numFmtId="164" fontId="22" fillId="0" borderId="1" xfId="1" applyNumberFormat="1" applyFont="1" applyFill="1" applyBorder="1" applyAlignment="1">
      <alignment horizontal="center" vertical="center" wrapText="1" readingOrder="2"/>
    </xf>
    <xf numFmtId="165" fontId="22" fillId="0" borderId="1" xfId="1" applyNumberFormat="1" applyFont="1" applyFill="1" applyBorder="1" applyAlignment="1">
      <alignment horizontal="center" vertical="center" wrapText="1" readingOrder="2"/>
    </xf>
    <xf numFmtId="165" fontId="21" fillId="0" borderId="4" xfId="1" applyNumberFormat="1" applyFont="1" applyFill="1" applyBorder="1" applyAlignment="1">
      <alignment horizontal="center" vertical="center" wrapText="1" readingOrder="2"/>
    </xf>
    <xf numFmtId="164" fontId="14" fillId="0" borderId="0" xfId="1" applyNumberFormat="1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164" fontId="37" fillId="0" borderId="0" xfId="1" applyNumberFormat="1" applyFont="1" applyFill="1" applyAlignment="1">
      <alignment vertical="center"/>
    </xf>
    <xf numFmtId="164" fontId="25" fillId="0" borderId="13" xfId="1" applyNumberFormat="1" applyFont="1" applyFill="1" applyBorder="1" applyAlignment="1">
      <alignment horizontal="center" vertical="center" wrapText="1" readingOrder="2"/>
    </xf>
    <xf numFmtId="164" fontId="18" fillId="0" borderId="0" xfId="1" applyNumberFormat="1" applyFont="1" applyFill="1" applyAlignment="1">
      <alignment vertical="center" wrapText="1"/>
    </xf>
    <xf numFmtId="164" fontId="18" fillId="0" borderId="3" xfId="1" applyNumberFormat="1" applyFont="1" applyFill="1" applyBorder="1" applyAlignment="1">
      <alignment vertical="center" wrapText="1"/>
    </xf>
    <xf numFmtId="164" fontId="8" fillId="0" borderId="0" xfId="1" applyNumberFormat="1" applyFont="1" applyFill="1"/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center" vertical="center" readingOrder="2"/>
    </xf>
    <xf numFmtId="164" fontId="20" fillId="0" borderId="9" xfId="1" applyNumberFormat="1" applyFont="1" applyFill="1" applyBorder="1" applyAlignment="1">
      <alignment horizontal="left" vertical="center"/>
    </xf>
    <xf numFmtId="164" fontId="20" fillId="0" borderId="0" xfId="1" applyNumberFormat="1" applyFont="1" applyFill="1" applyBorder="1" applyAlignment="1">
      <alignment vertical="center"/>
    </xf>
    <xf numFmtId="9" fontId="4" fillId="0" borderId="0" xfId="1" applyNumberFormat="1" applyFont="1" applyFill="1" applyAlignment="1">
      <alignment vertical="center"/>
    </xf>
    <xf numFmtId="10" fontId="6" fillId="0" borderId="8" xfId="2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3" fontId="40" fillId="0" borderId="0" xfId="0" applyNumberFormat="1" applyFont="1"/>
    <xf numFmtId="0" fontId="18" fillId="0" borderId="0" xfId="0" applyFont="1"/>
    <xf numFmtId="0" fontId="8" fillId="0" borderId="0" xfId="0" applyFont="1"/>
    <xf numFmtId="164" fontId="18" fillId="0" borderId="1" xfId="1" applyNumberFormat="1" applyFont="1" applyFill="1" applyBorder="1" applyAlignment="1">
      <alignment horizontal="center"/>
    </xf>
    <xf numFmtId="164" fontId="16" fillId="0" borderId="0" xfId="1" applyNumberFormat="1" applyFont="1" applyFill="1" applyAlignment="1">
      <alignment horizontal="right" vertical="center" readingOrder="2"/>
    </xf>
    <xf numFmtId="164" fontId="12" fillId="0" borderId="0" xfId="0" applyNumberFormat="1" applyFont="1"/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4" fontId="18" fillId="0" borderId="8" xfId="1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164" fontId="7" fillId="0" borderId="0" xfId="1" applyNumberFormat="1" applyFont="1" applyFill="1" applyAlignment="1">
      <alignment vertical="center"/>
    </xf>
    <xf numFmtId="10" fontId="21" fillId="0" borderId="8" xfId="2" applyNumberFormat="1" applyFont="1" applyFill="1" applyBorder="1" applyAlignment="1">
      <alignment horizontal="center" vertical="center" wrapText="1" readingOrder="2"/>
    </xf>
    <xf numFmtId="10" fontId="35" fillId="0" borderId="2" xfId="2" applyNumberFormat="1" applyFont="1" applyFill="1" applyBorder="1" applyAlignment="1">
      <alignment horizontal="center" vertical="center" wrapText="1" readingOrder="2"/>
    </xf>
    <xf numFmtId="165" fontId="8" fillId="0" borderId="0" xfId="1" applyNumberFormat="1" applyFont="1" applyFill="1" applyAlignment="1"/>
    <xf numFmtId="164" fontId="27" fillId="0" borderId="0" xfId="1" applyNumberFormat="1" applyFont="1" applyFill="1" applyBorder="1" applyAlignment="1">
      <alignment vertical="center" wrapText="1" readingOrder="2"/>
    </xf>
    <xf numFmtId="37" fontId="45" fillId="0" borderId="0" xfId="0" applyNumberFormat="1" applyFont="1" applyAlignment="1">
      <alignment horizontal="center" vertical="center" wrapText="1"/>
    </xf>
    <xf numFmtId="164" fontId="8" fillId="0" borderId="8" xfId="1" applyNumberFormat="1" applyFont="1" applyFill="1" applyBorder="1" applyAlignment="1">
      <alignment vertical="center"/>
    </xf>
    <xf numFmtId="164" fontId="13" fillId="0" borderId="8" xfId="1" applyNumberFormat="1" applyFont="1" applyFill="1" applyBorder="1" applyAlignment="1">
      <alignment vertical="center"/>
    </xf>
    <xf numFmtId="164" fontId="22" fillId="0" borderId="0" xfId="1" applyNumberFormat="1" applyFont="1" applyFill="1" applyBorder="1" applyAlignment="1">
      <alignment horizontal="right" vertical="center" wrapText="1" readingOrder="2"/>
    </xf>
    <xf numFmtId="164" fontId="31" fillId="0" borderId="0" xfId="1" applyNumberFormat="1" applyFont="1" applyFill="1" applyAlignment="1">
      <alignment horizontal="center"/>
    </xf>
    <xf numFmtId="164" fontId="17" fillId="0" borderId="0" xfId="1" applyNumberFormat="1" applyFont="1" applyFill="1" applyAlignment="1">
      <alignment horizontal="right" vertical="center" readingOrder="2"/>
    </xf>
    <xf numFmtId="164" fontId="17" fillId="0" borderId="0" xfId="1" applyNumberFormat="1" applyFont="1" applyFill="1" applyAlignment="1">
      <alignment vertical="center" readingOrder="2"/>
    </xf>
    <xf numFmtId="164" fontId="19" fillId="0" borderId="12" xfId="1" applyNumberFormat="1" applyFont="1" applyFill="1" applyBorder="1" applyAlignment="1">
      <alignment horizontal="right" vertical="center" readingOrder="2"/>
    </xf>
    <xf numFmtId="164" fontId="33" fillId="0" borderId="0" xfId="1" applyNumberFormat="1" applyFont="1" applyFill="1" applyAlignment="1">
      <alignment horizontal="right" vertical="center" readingOrder="2"/>
    </xf>
    <xf numFmtId="164" fontId="18" fillId="0" borderId="1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center" vertical="center"/>
    </xf>
    <xf numFmtId="164" fontId="18" fillId="0" borderId="0" xfId="1" applyNumberFormat="1" applyFont="1" applyFill="1" applyAlignment="1">
      <alignment horizontal="center"/>
    </xf>
    <xf numFmtId="164" fontId="31" fillId="0" borderId="0" xfId="1" applyNumberFormat="1" applyFont="1" applyFill="1" applyAlignment="1">
      <alignment vertical="center" wrapText="1"/>
    </xf>
    <xf numFmtId="164" fontId="18" fillId="0" borderId="0" xfId="1" applyNumberFormat="1" applyFont="1" applyFill="1" applyAlignment="1">
      <alignment horizontal="center" vertical="center" readingOrder="2"/>
    </xf>
    <xf numFmtId="164" fontId="39" fillId="0" borderId="0" xfId="1" applyNumberFormat="1" applyFont="1" applyFill="1"/>
    <xf numFmtId="164" fontId="18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right" vertical="center"/>
    </xf>
    <xf numFmtId="164" fontId="32" fillId="0" borderId="0" xfId="1" applyNumberFormat="1" applyFont="1" applyFill="1"/>
    <xf numFmtId="37" fontId="16" fillId="0" borderId="0" xfId="1" applyNumberFormat="1" applyFont="1" applyFill="1" applyAlignment="1">
      <alignment horizontal="center" vertical="center" readingOrder="2"/>
    </xf>
    <xf numFmtId="37" fontId="17" fillId="0" borderId="0" xfId="1" applyNumberFormat="1" applyFont="1" applyFill="1" applyAlignment="1">
      <alignment horizontal="center" vertical="center" readingOrder="2"/>
    </xf>
    <xf numFmtId="37" fontId="18" fillId="0" borderId="0" xfId="1" applyNumberFormat="1" applyFont="1" applyFill="1" applyAlignment="1">
      <alignment horizontal="center"/>
    </xf>
    <xf numFmtId="3" fontId="0" fillId="0" borderId="0" xfId="0" applyNumberFormat="1"/>
    <xf numFmtId="169" fontId="48" fillId="0" borderId="0" xfId="5" applyNumberFormat="1" applyFont="1" applyFill="1" applyAlignment="1">
      <alignment horizontal="left" vertical="center" wrapText="1" shrinkToFit="1"/>
    </xf>
    <xf numFmtId="0" fontId="48" fillId="0" borderId="0" xfId="0" applyFont="1" applyAlignment="1">
      <alignment vertical="center"/>
    </xf>
    <xf numFmtId="0" fontId="49" fillId="0" borderId="0" xfId="0" applyFont="1"/>
    <xf numFmtId="0" fontId="51" fillId="0" borderId="0" xfId="0" applyFont="1"/>
    <xf numFmtId="37" fontId="50" fillId="0" borderId="10" xfId="0" applyNumberFormat="1" applyFont="1" applyBorder="1" applyAlignment="1">
      <alignment horizontal="center" vertical="center"/>
    </xf>
    <xf numFmtId="37" fontId="50" fillId="0" borderId="10" xfId="0" applyNumberFormat="1" applyFont="1" applyBorder="1" applyAlignment="1">
      <alignment horizontal="center" vertical="center" wrapText="1"/>
    </xf>
    <xf numFmtId="170" fontId="48" fillId="0" borderId="0" xfId="0" applyNumberFormat="1" applyFont="1" applyAlignment="1">
      <alignment vertical="center"/>
    </xf>
    <xf numFmtId="0" fontId="53" fillId="0" borderId="0" xfId="0" applyFont="1"/>
    <xf numFmtId="164" fontId="52" fillId="0" borderId="0" xfId="0" applyNumberFormat="1" applyFont="1" applyAlignment="1">
      <alignment horizontal="center" vertical="center" wrapText="1" shrinkToFit="1"/>
    </xf>
    <xf numFmtId="0" fontId="53" fillId="0" borderId="0" xfId="0" applyFont="1" applyAlignment="1">
      <alignment horizontal="center"/>
    </xf>
    <xf numFmtId="164" fontId="52" fillId="0" borderId="0" xfId="0" applyNumberFormat="1" applyFont="1" applyAlignment="1">
      <alignment horizontal="left" vertical="center" wrapText="1" shrinkToFit="1"/>
    </xf>
    <xf numFmtId="0" fontId="48" fillId="0" borderId="0" xfId="0" applyFont="1"/>
    <xf numFmtId="171" fontId="48" fillId="0" borderId="0" xfId="5" applyNumberFormat="1" applyFont="1" applyFill="1" applyAlignment="1">
      <alignment horizontal="left" vertical="center" wrapText="1" shrinkToFit="1"/>
    </xf>
    <xf numFmtId="0" fontId="53" fillId="0" borderId="0" xfId="0" applyFont="1" applyAlignment="1">
      <alignment vertical="center"/>
    </xf>
    <xf numFmtId="37" fontId="52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52" fillId="0" borderId="8" xfId="0" applyNumberFormat="1" applyFont="1" applyBorder="1" applyAlignment="1">
      <alignment horizontal="left" vertical="center" wrapText="1" shrinkToFit="1"/>
    </xf>
    <xf numFmtId="37" fontId="52" fillId="0" borderId="9" xfId="0" applyNumberFormat="1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vertical="center"/>
    </xf>
    <xf numFmtId="10" fontId="52" fillId="0" borderId="0" xfId="0" applyNumberFormat="1" applyFont="1" applyAlignment="1">
      <alignment horizontal="center" vertical="center"/>
    </xf>
    <xf numFmtId="3" fontId="52" fillId="0" borderId="0" xfId="0" applyNumberFormat="1" applyFont="1" applyAlignment="1">
      <alignment horizontal="left" vertical="center" wrapText="1" shrinkToFit="1"/>
    </xf>
    <xf numFmtId="0" fontId="7" fillId="0" borderId="0" xfId="0" applyFont="1" applyAlignment="1">
      <alignment horizontal="center"/>
    </xf>
    <xf numFmtId="164" fontId="13" fillId="0" borderId="0" xfId="1" applyNumberFormat="1" applyFont="1" applyFill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 wrapText="1"/>
    </xf>
    <xf numFmtId="43" fontId="8" fillId="0" borderId="0" xfId="1" applyFont="1" applyFill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10" fontId="4" fillId="0" borderId="0" xfId="1" applyNumberFormat="1" applyFont="1" applyFill="1" applyAlignment="1">
      <alignment vertical="center"/>
    </xf>
    <xf numFmtId="3" fontId="18" fillId="0" borderId="0" xfId="1" applyNumberFormat="1" applyFont="1" applyFill="1" applyAlignment="1">
      <alignment vertical="center"/>
    </xf>
    <xf numFmtId="172" fontId="13" fillId="2" borderId="0" xfId="1" applyNumberFormat="1" applyFont="1" applyFill="1" applyAlignment="1">
      <alignment vertical="center"/>
    </xf>
    <xf numFmtId="172" fontId="13" fillId="3" borderId="0" xfId="1" applyNumberFormat="1" applyFont="1" applyFill="1" applyAlignment="1">
      <alignment vertical="center"/>
    </xf>
    <xf numFmtId="164" fontId="53" fillId="0" borderId="0" xfId="1" applyNumberFormat="1" applyFont="1" applyFill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37" fontId="45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172" fontId="13" fillId="0" borderId="0" xfId="1" applyNumberFormat="1" applyFont="1" applyFill="1" applyAlignment="1">
      <alignment vertical="center"/>
    </xf>
    <xf numFmtId="164" fontId="20" fillId="0" borderId="0" xfId="1" applyNumberFormat="1" applyFont="1" applyFill="1" applyAlignment="1">
      <alignment vertical="center"/>
    </xf>
    <xf numFmtId="10" fontId="57" fillId="0" borderId="0" xfId="2" applyNumberFormat="1" applyFont="1" applyFill="1" applyAlignment="1">
      <alignment horizontal="center" vertical="center" wrapText="1" readingOrder="2"/>
    </xf>
    <xf numFmtId="9" fontId="57" fillId="0" borderId="2" xfId="2" applyFont="1" applyFill="1" applyBorder="1" applyAlignment="1">
      <alignment horizontal="center" vertical="center" readingOrder="2"/>
    </xf>
    <xf numFmtId="10" fontId="57" fillId="0" borderId="2" xfId="2" applyNumberFormat="1" applyFont="1" applyFill="1" applyBorder="1" applyAlignment="1">
      <alignment horizontal="center" vertical="center" readingOrder="2"/>
    </xf>
    <xf numFmtId="3" fontId="58" fillId="0" borderId="2" xfId="2" applyNumberFormat="1" applyFont="1" applyFill="1" applyBorder="1" applyAlignment="1">
      <alignment horizontal="right" vertical="center" readingOrder="2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 readingOrder="2"/>
    </xf>
    <xf numFmtId="0" fontId="3" fillId="0" borderId="0" xfId="0" applyFont="1" applyFill="1" applyAlignment="1">
      <alignment vertical="center" wrapText="1" readingOrder="2"/>
    </xf>
    <xf numFmtId="0" fontId="4" fillId="0" borderId="0" xfId="0" applyFont="1" applyFill="1" applyAlignment="1">
      <alignment vertical="center" wrapText="1" readingOrder="2"/>
    </xf>
    <xf numFmtId="0" fontId="4" fillId="0" borderId="0" xfId="0" applyFont="1" applyFill="1" applyAlignment="1">
      <alignment horizontal="center" vertical="center" readingOrder="2"/>
    </xf>
    <xf numFmtId="37" fontId="6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3" fontId="40" fillId="0" borderId="0" xfId="0" applyNumberFormat="1" applyFont="1" applyFill="1"/>
    <xf numFmtId="166" fontId="4" fillId="0" borderId="0" xfId="0" applyNumberFormat="1" applyFont="1" applyFill="1" applyAlignment="1">
      <alignment vertical="center"/>
    </xf>
    <xf numFmtId="3" fontId="54" fillId="0" borderId="0" xfId="0" applyNumberFormat="1" applyFont="1" applyFill="1"/>
    <xf numFmtId="0" fontId="8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7" fontId="30" fillId="0" borderId="0" xfId="0" quotePrefix="1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6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40" fillId="0" borderId="0" xfId="0" applyNumberFormat="1" applyFont="1" applyFill="1" applyAlignment="1">
      <alignment vertical="center" wrapText="1"/>
    </xf>
    <xf numFmtId="0" fontId="14" fillId="0" borderId="0" xfId="0" applyFont="1" applyFill="1"/>
    <xf numFmtId="0" fontId="18" fillId="0" borderId="0" xfId="0" applyFont="1" applyFill="1"/>
    <xf numFmtId="0" fontId="18" fillId="0" borderId="1" xfId="0" applyFont="1" applyFill="1" applyBorder="1"/>
    <xf numFmtId="0" fontId="16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 readingOrder="2"/>
    </xf>
    <xf numFmtId="0" fontId="18" fillId="0" borderId="0" xfId="0" applyFont="1" applyFill="1" applyAlignment="1">
      <alignment horizontal="center"/>
    </xf>
    <xf numFmtId="37" fontId="11" fillId="0" borderId="0" xfId="0" applyNumberFormat="1" applyFont="1" applyFill="1" applyAlignment="1">
      <alignment horizontal="right" vertical="center" wrapText="1"/>
    </xf>
    <xf numFmtId="164" fontId="18" fillId="0" borderId="0" xfId="0" applyNumberFormat="1" applyFont="1" applyFill="1"/>
    <xf numFmtId="37" fontId="11" fillId="0" borderId="0" xfId="0" applyNumberFormat="1" applyFont="1" applyFill="1" applyAlignment="1">
      <alignment vertical="center" wrapText="1"/>
    </xf>
    <xf numFmtId="0" fontId="43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/>
    </xf>
    <xf numFmtId="164" fontId="43" fillId="0" borderId="0" xfId="1" applyNumberFormat="1" applyFont="1" applyFill="1" applyAlignment="1">
      <alignment vertical="center"/>
    </xf>
    <xf numFmtId="0" fontId="43" fillId="0" borderId="0" xfId="0" applyFont="1" applyFill="1" applyAlignment="1">
      <alignment horizontal="center"/>
    </xf>
    <xf numFmtId="173" fontId="13" fillId="0" borderId="0" xfId="1" applyNumberFormat="1" applyFont="1" applyFill="1" applyAlignment="1">
      <alignment vertical="center"/>
    </xf>
    <xf numFmtId="3" fontId="13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 readingOrder="2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 readingOrder="2"/>
    </xf>
    <xf numFmtId="0" fontId="7" fillId="0" borderId="0" xfId="0" applyFont="1" applyFill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164" fontId="13" fillId="0" borderId="0" xfId="1" applyNumberFormat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 wrapText="1" readingOrder="2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164" fontId="4" fillId="0" borderId="1" xfId="1" applyNumberFormat="1" applyFont="1" applyFill="1" applyBorder="1" applyAlignment="1">
      <alignment horizontal="center" vertical="center" wrapText="1" readingOrder="2"/>
    </xf>
    <xf numFmtId="10" fontId="4" fillId="0" borderId="3" xfId="2" applyNumberFormat="1" applyFont="1" applyFill="1" applyBorder="1" applyAlignment="1">
      <alignment horizontal="center" vertical="center" wrapText="1" readingOrder="2"/>
    </xf>
    <xf numFmtId="10" fontId="4" fillId="0" borderId="1" xfId="2" applyNumberFormat="1" applyFont="1" applyFill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 readingOrder="2"/>
    </xf>
    <xf numFmtId="164" fontId="4" fillId="0" borderId="1" xfId="1" applyNumberFormat="1" applyFont="1" applyFill="1" applyBorder="1" applyAlignment="1">
      <alignment horizontal="center" vertical="center" readingOrder="2"/>
    </xf>
    <xf numFmtId="0" fontId="5" fillId="0" borderId="0" xfId="0" applyFont="1" applyFill="1" applyAlignment="1">
      <alignment horizontal="right" vertical="center" readingOrder="2"/>
    </xf>
    <xf numFmtId="164" fontId="3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 readingOrder="2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 readingOrder="2"/>
    </xf>
    <xf numFmtId="0" fontId="7" fillId="0" borderId="1" xfId="0" applyFont="1" applyFill="1" applyBorder="1" applyAlignment="1">
      <alignment horizontal="center"/>
    </xf>
    <xf numFmtId="37" fontId="50" fillId="0" borderId="14" xfId="0" applyNumberFormat="1" applyFont="1" applyBorder="1" applyAlignment="1">
      <alignment horizontal="center" vertical="center"/>
    </xf>
    <xf numFmtId="0" fontId="51" fillId="0" borderId="11" xfId="0" applyFont="1" applyBorder="1"/>
    <xf numFmtId="0" fontId="47" fillId="0" borderId="0" xfId="0" applyFont="1" applyAlignment="1">
      <alignment horizontal="center"/>
    </xf>
    <xf numFmtId="37" fontId="50" fillId="0" borderId="0" xfId="0" applyNumberFormat="1" applyFont="1" applyAlignment="1">
      <alignment horizontal="right" vertical="center"/>
    </xf>
    <xf numFmtId="0" fontId="51" fillId="0" borderId="0" xfId="0" applyFont="1"/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 readingOrder="2"/>
    </xf>
    <xf numFmtId="0" fontId="16" fillId="0" borderId="1" xfId="0" applyFont="1" applyFill="1" applyBorder="1" applyAlignment="1">
      <alignment horizontal="center" vertical="center" wrapText="1" readingOrder="2"/>
    </xf>
    <xf numFmtId="0" fontId="16" fillId="0" borderId="4" xfId="0" applyFont="1" applyFill="1" applyBorder="1" applyAlignment="1">
      <alignment horizontal="center" vertical="center" wrapText="1" readingOrder="2"/>
    </xf>
    <xf numFmtId="0" fontId="18" fillId="0" borderId="3" xfId="0" applyFont="1" applyFill="1" applyBorder="1" applyAlignment="1">
      <alignment horizontal="center" vertical="center" readingOrder="2"/>
    </xf>
    <xf numFmtId="0" fontId="18" fillId="0" borderId="1" xfId="0" applyFont="1" applyFill="1" applyBorder="1" applyAlignment="1">
      <alignment horizontal="center" vertical="center" readingOrder="2"/>
    </xf>
    <xf numFmtId="0" fontId="18" fillId="0" borderId="0" xfId="0" applyFont="1" applyFill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164" fontId="18" fillId="0" borderId="0" xfId="1" applyNumberFormat="1" applyFont="1" applyFill="1" applyBorder="1" applyAlignment="1">
      <alignment horizontal="center" vertical="center" readingOrder="2"/>
    </xf>
    <xf numFmtId="164" fontId="18" fillId="0" borderId="1" xfId="1" applyNumberFormat="1" applyFont="1" applyFill="1" applyBorder="1" applyAlignment="1">
      <alignment horizontal="center" vertical="center" readingOrder="2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164" fontId="16" fillId="0" borderId="0" xfId="1" applyNumberFormat="1" applyFont="1" applyFill="1" applyAlignment="1">
      <alignment horizontal="center"/>
    </xf>
    <xf numFmtId="165" fontId="13" fillId="0" borderId="3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Alignment="1">
      <alignment horizontal="center" vertical="center" wrapText="1"/>
    </xf>
    <xf numFmtId="164" fontId="21" fillId="0" borderId="3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wrapText="1" readingOrder="2"/>
    </xf>
    <xf numFmtId="165" fontId="21" fillId="0" borderId="3" xfId="1" applyNumberFormat="1" applyFont="1" applyFill="1" applyBorder="1" applyAlignment="1">
      <alignment horizontal="center" vertical="center" wrapText="1" readingOrder="2"/>
    </xf>
    <xf numFmtId="165" fontId="21" fillId="0" borderId="0" xfId="1" applyNumberFormat="1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readingOrder="2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Alignment="1">
      <alignment horizontal="center" vertical="center" wrapText="1"/>
    </xf>
    <xf numFmtId="164" fontId="16" fillId="0" borderId="4" xfId="1" applyNumberFormat="1" applyFont="1" applyFill="1" applyBorder="1" applyAlignment="1">
      <alignment horizontal="center" vertical="center" wrapText="1"/>
    </xf>
    <xf numFmtId="3" fontId="23" fillId="0" borderId="0" xfId="1" applyNumberFormat="1" applyFont="1" applyFill="1" applyAlignment="1">
      <alignment horizontal="right" vertical="center" readingOrder="2"/>
    </xf>
    <xf numFmtId="164" fontId="21" fillId="0" borderId="1" xfId="1" applyNumberFormat="1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164" fontId="56" fillId="0" borderId="1" xfId="1" applyNumberFormat="1" applyFont="1" applyFill="1" applyBorder="1" applyAlignment="1">
      <alignment horizontal="center" vertical="center" wrapText="1" readingOrder="2"/>
    </xf>
    <xf numFmtId="165" fontId="23" fillId="0" borderId="0" xfId="1" applyNumberFormat="1" applyFont="1" applyFill="1" applyAlignment="1">
      <alignment horizontal="right" vertical="center" readingOrder="2"/>
    </xf>
    <xf numFmtId="164" fontId="4" fillId="0" borderId="0" xfId="1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vertical="center"/>
    </xf>
    <xf numFmtId="164" fontId="4" fillId="0" borderId="8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right" vertical="center"/>
    </xf>
    <xf numFmtId="164" fontId="4" fillId="0" borderId="2" xfId="0" applyNumberFormat="1" applyFont="1" applyFill="1" applyBorder="1" applyAlignment="1">
      <alignment horizontal="center" vertical="center" readingOrder="2"/>
    </xf>
    <xf numFmtId="164" fontId="10" fillId="0" borderId="0" xfId="0" applyNumberFormat="1" applyFont="1" applyFill="1" applyAlignment="1">
      <alignment horizontal="center"/>
    </xf>
    <xf numFmtId="164" fontId="18" fillId="0" borderId="2" xfId="1" applyNumberFormat="1" applyFont="1" applyFill="1" applyBorder="1" applyAlignment="1">
      <alignment vertical="center" readingOrder="2"/>
    </xf>
    <xf numFmtId="164" fontId="18" fillId="0" borderId="2" xfId="1" applyNumberFormat="1" applyFont="1" applyFill="1" applyBorder="1" applyAlignment="1">
      <alignment horizontal="center" vertical="center" readingOrder="2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21" fillId="0" borderId="0" xfId="0" applyFont="1" applyFill="1" applyAlignment="1">
      <alignment vertical="center" wrapText="1" readingOrder="2"/>
    </xf>
    <xf numFmtId="0" fontId="13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 readingOrder="2"/>
    </xf>
    <xf numFmtId="0" fontId="13" fillId="0" borderId="0" xfId="0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 readingOrder="2"/>
    </xf>
    <xf numFmtId="0" fontId="13" fillId="0" borderId="1" xfId="0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 readingOrder="2"/>
    </xf>
    <xf numFmtId="0" fontId="21" fillId="0" borderId="4" xfId="0" applyFont="1" applyFill="1" applyBorder="1" applyAlignment="1">
      <alignment horizontal="center" vertical="center" wrapText="1" readingOrder="2"/>
    </xf>
    <xf numFmtId="37" fontId="6" fillId="0" borderId="0" xfId="0" quotePrefix="1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37" fontId="34" fillId="0" borderId="0" xfId="0" applyNumberFormat="1" applyFont="1" applyFill="1" applyAlignment="1">
      <alignment horizontal="center" vertical="center"/>
    </xf>
    <xf numFmtId="165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center"/>
    </xf>
    <xf numFmtId="0" fontId="25" fillId="0" borderId="1" xfId="0" applyFont="1" applyFill="1" applyBorder="1" applyAlignment="1">
      <alignment horizontal="right" vertical="center" wrapText="1" readingOrder="2"/>
    </xf>
    <xf numFmtId="0" fontId="25" fillId="0" borderId="0" xfId="0" applyFont="1" applyFill="1" applyAlignment="1">
      <alignment vertical="center" wrapText="1" readingOrder="2"/>
    </xf>
    <xf numFmtId="0" fontId="20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5" fillId="0" borderId="3" xfId="0" applyFont="1" applyFill="1" applyBorder="1" applyAlignment="1">
      <alignment horizontal="center" vertical="center" wrapText="1" readingOrder="2"/>
    </xf>
    <xf numFmtId="0" fontId="25" fillId="0" borderId="0" xfId="0" applyFont="1" applyFill="1" applyAlignment="1">
      <alignment horizontal="center" vertical="center" wrapText="1" readingOrder="2"/>
    </xf>
    <xf numFmtId="0" fontId="25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 readingOrder="2"/>
    </xf>
    <xf numFmtId="0" fontId="25" fillId="0" borderId="1" xfId="0" applyFont="1" applyFill="1" applyBorder="1" applyAlignment="1">
      <alignment horizontal="center" vertical="center" wrapText="1" readingOrder="2"/>
    </xf>
    <xf numFmtId="0" fontId="26" fillId="0" borderId="0" xfId="0" applyFont="1" applyFill="1" applyAlignment="1">
      <alignment horizontal="center" vertical="center" wrapText="1" readingOrder="2"/>
    </xf>
    <xf numFmtId="0" fontId="12" fillId="0" borderId="0" xfId="0" applyFont="1" applyFill="1"/>
    <xf numFmtId="0" fontId="27" fillId="0" borderId="0" xfId="0" applyFont="1" applyFill="1" applyAlignment="1">
      <alignment horizontal="right" vertical="center" wrapText="1" readingOrder="2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/>
    <xf numFmtId="164" fontId="8" fillId="0" borderId="0" xfId="0" applyNumberFormat="1" applyFont="1" applyFill="1"/>
    <xf numFmtId="0" fontId="25" fillId="0" borderId="4" xfId="0" applyFont="1" applyFill="1" applyBorder="1" applyAlignment="1">
      <alignment horizontal="center" vertical="center" wrapText="1" readingOrder="2"/>
    </xf>
    <xf numFmtId="0" fontId="25" fillId="0" borderId="13" xfId="0" applyFont="1" applyFill="1" applyBorder="1" applyAlignment="1">
      <alignment horizontal="center" vertical="center" wrapText="1" readingOrder="2"/>
    </xf>
    <xf numFmtId="37" fontId="28" fillId="0" borderId="0" xfId="0" applyNumberFormat="1" applyFont="1" applyFill="1" applyAlignment="1">
      <alignment horizontal="center" vertical="center" wrapText="1"/>
    </xf>
    <xf numFmtId="10" fontId="11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3" fontId="42" fillId="0" borderId="0" xfId="0" applyNumberFormat="1" applyFont="1" applyFill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3" fontId="18" fillId="0" borderId="0" xfId="0" applyNumberFormat="1" applyFont="1" applyFill="1"/>
    <xf numFmtId="3" fontId="20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3" fontId="23" fillId="0" borderId="0" xfId="0" applyNumberFormat="1" applyFont="1" applyFill="1" applyAlignment="1">
      <alignment horizontal="right" vertical="center" readingOrder="2"/>
    </xf>
    <xf numFmtId="3" fontId="24" fillId="0" borderId="10" xfId="0" applyNumberFormat="1" applyFont="1" applyFill="1" applyBorder="1" applyAlignment="1">
      <alignment horizontal="center" vertical="center"/>
    </xf>
    <xf numFmtId="3" fontId="12" fillId="0" borderId="11" xfId="0" applyNumberFormat="1" applyFont="1" applyFill="1" applyBorder="1"/>
    <xf numFmtId="3" fontId="24" fillId="0" borderId="10" xfId="0" applyNumberFormat="1" applyFont="1" applyFill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/>
    </xf>
    <xf numFmtId="3" fontId="44" fillId="0" borderId="0" xfId="0" applyNumberFormat="1" applyFont="1" applyFill="1"/>
    <xf numFmtId="173" fontId="18" fillId="0" borderId="0" xfId="0" applyNumberFormat="1" applyFont="1" applyFill="1"/>
    <xf numFmtId="0" fontId="13" fillId="0" borderId="0" xfId="0" applyFont="1" applyFill="1" applyAlignment="1">
      <alignment horizontal="center"/>
    </xf>
    <xf numFmtId="37" fontId="45" fillId="0" borderId="0" xfId="0" applyNumberFormat="1" applyFont="1" applyFill="1" applyAlignment="1">
      <alignment horizontal="center" vertical="center" wrapText="1"/>
    </xf>
    <xf numFmtId="173" fontId="8" fillId="0" borderId="0" xfId="0" applyNumberFormat="1" applyFont="1" applyFill="1"/>
    <xf numFmtId="173" fontId="13" fillId="0" borderId="0" xfId="0" applyNumberFormat="1" applyFont="1" applyFill="1"/>
    <xf numFmtId="3" fontId="13" fillId="0" borderId="0" xfId="0" applyNumberFormat="1" applyFont="1" applyFill="1"/>
    <xf numFmtId="37" fontId="13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right" vertical="center" readingOrder="2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7" fontId="12" fillId="0" borderId="0" xfId="0" applyNumberFormat="1" applyFont="1" applyFill="1"/>
    <xf numFmtId="37" fontId="8" fillId="0" borderId="0" xfId="0" applyNumberFormat="1" applyFont="1" applyFill="1" applyAlignment="1">
      <alignment horizontal="center" vertical="center"/>
    </xf>
    <xf numFmtId="164" fontId="8" fillId="0" borderId="0" xfId="1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vertical="center"/>
    </xf>
    <xf numFmtId="164" fontId="12" fillId="0" borderId="0" xfId="0" applyNumberFormat="1" applyFont="1" applyFill="1"/>
    <xf numFmtId="164" fontId="43" fillId="0" borderId="0" xfId="0" applyNumberFormat="1" applyFont="1" applyFill="1"/>
    <xf numFmtId="165" fontId="12" fillId="0" borderId="0" xfId="0" applyNumberFormat="1" applyFont="1" applyFill="1"/>
    <xf numFmtId="0" fontId="18" fillId="0" borderId="0" xfId="0" applyFont="1" applyFill="1" applyAlignment="1">
      <alignment horizontal="center" vertical="center"/>
    </xf>
    <xf numFmtId="37" fontId="55" fillId="0" borderId="0" xfId="0" quotePrefix="1" applyNumberFormat="1" applyFont="1" applyFill="1" applyAlignment="1">
      <alignment horizontal="right" vertical="center" wrapText="1"/>
    </xf>
    <xf numFmtId="37" fontId="11" fillId="0" borderId="0" xfId="0" quotePrefix="1" applyNumberFormat="1" applyFont="1" applyFill="1" applyAlignment="1">
      <alignment horizontal="right" vertical="center" wrapText="1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2" fontId="8" fillId="0" borderId="0" xfId="0" applyNumberFormat="1" applyFont="1" applyFill="1" applyAlignment="1">
      <alignment vertical="center"/>
    </xf>
    <xf numFmtId="37" fontId="11" fillId="0" borderId="0" xfId="0" applyNumberFormat="1" applyFont="1" applyFill="1" applyAlignment="1">
      <alignment horizontal="center" vertical="center" wrapText="1"/>
    </xf>
    <xf numFmtId="3" fontId="46" fillId="0" borderId="0" xfId="0" applyNumberFormat="1" applyFont="1" applyFill="1"/>
    <xf numFmtId="3" fontId="41" fillId="0" borderId="0" xfId="0" applyNumberFormat="1" applyFont="1" applyFill="1" applyAlignment="1">
      <alignment vertical="center"/>
    </xf>
    <xf numFmtId="0" fontId="12" fillId="4" borderId="0" xfId="0" applyFont="1" applyFill="1"/>
  </cellXfs>
  <cellStyles count="6">
    <cellStyle name="Comma" xfId="1" builtinId="3"/>
    <cellStyle name="Comma 2" xfId="5" xr:uid="{F2B00D3C-5790-4550-A487-9FBEA97624C3}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9066</xdr:colOff>
      <xdr:row>4</xdr:row>
      <xdr:rowOff>142875</xdr:rowOff>
    </xdr:from>
    <xdr:to>
      <xdr:col>8</xdr:col>
      <xdr:colOff>579309</xdr:colOff>
      <xdr:row>17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7B3B1-C69C-4450-A32E-C5A9A55E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0291" y="1019175"/>
          <a:ext cx="4837443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5628</xdr:colOff>
      <xdr:row>36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A0FF29-035D-40A2-B0C0-F3FC3C438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584772" y="0"/>
          <a:ext cx="6101628" cy="789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31"/>
  <sheetViews>
    <sheetView rightToLeft="1" tabSelected="1" view="pageBreakPreview" zoomScaleNormal="100" zoomScaleSheetLayoutView="100" workbookViewId="0">
      <selection activeCell="N18" sqref="N18"/>
    </sheetView>
  </sheetViews>
  <sheetFormatPr defaultColWidth="9.140625" defaultRowHeight="17.25"/>
  <cols>
    <col min="1" max="16384" width="9.140625" style="1"/>
  </cols>
  <sheetData>
    <row r="1" spans="1:1">
      <c r="A1" s="354"/>
    </row>
    <row r="18" spans="1:13">
      <c r="M18" s="1" t="s">
        <v>54</v>
      </c>
    </row>
    <row r="24" spans="1:13" ht="15" customHeight="1">
      <c r="A24" s="192" t="s">
        <v>70</v>
      </c>
      <c r="B24" s="192"/>
      <c r="C24" s="192"/>
      <c r="D24" s="192"/>
      <c r="E24" s="192"/>
      <c r="F24" s="192"/>
      <c r="G24" s="192"/>
      <c r="H24" s="192"/>
      <c r="I24" s="192"/>
      <c r="J24" s="192"/>
      <c r="K24" s="3"/>
      <c r="L24" s="3"/>
    </row>
    <row r="25" spans="1:13" ht="15" customHeight="1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3"/>
      <c r="L25" s="3"/>
    </row>
    <row r="26" spans="1:13" ht="15" customHeight="1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3"/>
      <c r="L26" s="3"/>
    </row>
    <row r="27" spans="1:13">
      <c r="C27" s="1" t="s">
        <v>54</v>
      </c>
    </row>
    <row r="28" spans="1:13" ht="15" customHeight="1">
      <c r="A28" s="192" t="s">
        <v>162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</row>
    <row r="29" spans="1:13" ht="15" customHeight="1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</row>
    <row r="30" spans="1:13" ht="15" customHeight="1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</row>
    <row r="31" spans="1:13" ht="15" customHeight="1">
      <c r="A31" s="192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41"/>
  <sheetViews>
    <sheetView rightToLeft="1" view="pageBreakPreview" zoomScale="60" zoomScaleNormal="100" workbookViewId="0">
      <selection activeCell="I42" sqref="I42"/>
    </sheetView>
  </sheetViews>
  <sheetFormatPr defaultColWidth="9.140625" defaultRowHeight="30.75"/>
  <cols>
    <col min="1" max="1" width="55.42578125" style="143" bestFit="1" customWidth="1"/>
    <col min="2" max="2" width="1.85546875" style="143" customWidth="1"/>
    <col min="3" max="3" width="22.5703125" style="4" customWidth="1"/>
    <col min="4" max="4" width="1.140625" style="4" customWidth="1"/>
    <col min="5" max="5" width="32" style="4" customWidth="1"/>
    <col min="6" max="6" width="1.42578125" style="4" customWidth="1"/>
    <col min="7" max="7" width="32.140625" style="4" customWidth="1"/>
    <col min="8" max="8" width="1.5703125" style="4" customWidth="1"/>
    <col min="9" max="9" width="20.5703125" style="4" bestFit="1" customWidth="1"/>
    <col min="10" max="10" width="29.140625" style="4" bestFit="1" customWidth="1"/>
    <col min="11" max="11" width="1.42578125" style="4" customWidth="1"/>
    <col min="12" max="12" width="20.7109375" style="4" customWidth="1"/>
    <col min="13" max="13" width="29.140625" style="4" customWidth="1"/>
    <col min="14" max="14" width="1.140625" style="4" customWidth="1"/>
    <col min="15" max="15" width="22.5703125" style="4" bestFit="1" customWidth="1"/>
    <col min="16" max="16" width="1.42578125" style="4" customWidth="1"/>
    <col min="17" max="17" width="18.7109375" style="4" customWidth="1"/>
    <col min="18" max="18" width="1.5703125" style="4" customWidth="1"/>
    <col min="19" max="19" width="32" style="4" bestFit="1" customWidth="1"/>
    <col min="20" max="20" width="1.85546875" style="4" customWidth="1"/>
    <col min="21" max="21" width="37.42578125" style="4" bestFit="1" customWidth="1"/>
    <col min="22" max="22" width="1.5703125" style="143" customWidth="1"/>
    <col min="23" max="23" width="21.85546875" style="9" customWidth="1"/>
    <col min="24" max="24" width="21.140625" style="4" bestFit="1" customWidth="1"/>
    <col min="25" max="25" width="14.140625" style="4" bestFit="1" customWidth="1"/>
    <col min="26" max="26" width="16.42578125" style="143" customWidth="1"/>
    <col min="27" max="28" width="14.85546875" style="5" bestFit="1" customWidth="1"/>
    <col min="29" max="29" width="17.140625" style="143" bestFit="1" customWidth="1"/>
    <col min="30" max="16384" width="9.140625" style="143"/>
  </cols>
  <sheetData>
    <row r="1" spans="1:33" ht="31.5">
      <c r="A1" s="200" t="s">
        <v>87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</row>
    <row r="2" spans="1:33" ht="31.5">
      <c r="A2" s="200" t="s">
        <v>46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1:33" ht="31.5">
      <c r="A3" s="200" t="s">
        <v>163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</row>
    <row r="4" spans="1:33" ht="31.5">
      <c r="A4" s="206" t="s">
        <v>22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</row>
    <row r="5" spans="1:33" ht="31.5">
      <c r="A5" s="206" t="s">
        <v>23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</row>
    <row r="7" spans="1:33" ht="36.75" customHeight="1" thickBot="1">
      <c r="A7" s="144"/>
      <c r="B7" s="145"/>
      <c r="C7" s="193" t="s">
        <v>139</v>
      </c>
      <c r="D7" s="193"/>
      <c r="E7" s="193"/>
      <c r="F7" s="193"/>
      <c r="G7" s="193"/>
      <c r="H7" s="6"/>
      <c r="I7" s="207" t="s">
        <v>7</v>
      </c>
      <c r="J7" s="207"/>
      <c r="K7" s="207"/>
      <c r="L7" s="207"/>
      <c r="M7" s="207"/>
      <c r="O7" s="194" t="s">
        <v>164</v>
      </c>
      <c r="P7" s="194"/>
      <c r="Q7" s="194"/>
      <c r="R7" s="194"/>
      <c r="S7" s="194"/>
      <c r="T7" s="194"/>
      <c r="U7" s="194"/>
      <c r="V7" s="194"/>
      <c r="W7" s="194"/>
    </row>
    <row r="8" spans="1:33" ht="29.25" customHeight="1">
      <c r="A8" s="201" t="s">
        <v>1</v>
      </c>
      <c r="B8" s="146"/>
      <c r="C8" s="204" t="s">
        <v>3</v>
      </c>
      <c r="D8" s="195"/>
      <c r="E8" s="204" t="s">
        <v>0</v>
      </c>
      <c r="F8" s="195"/>
      <c r="G8" s="195" t="s">
        <v>18</v>
      </c>
      <c r="H8" s="50"/>
      <c r="I8" s="203" t="s">
        <v>4</v>
      </c>
      <c r="J8" s="203"/>
      <c r="K8" s="7"/>
      <c r="L8" s="203" t="s">
        <v>5</v>
      </c>
      <c r="M8" s="203"/>
      <c r="O8" s="204" t="s">
        <v>3</v>
      </c>
      <c r="P8" s="196"/>
      <c r="Q8" s="195" t="s">
        <v>30</v>
      </c>
      <c r="R8" s="186"/>
      <c r="S8" s="204" t="s">
        <v>0</v>
      </c>
      <c r="T8" s="196"/>
      <c r="U8" s="195" t="s">
        <v>18</v>
      </c>
      <c r="V8" s="147"/>
      <c r="W8" s="198" t="s">
        <v>19</v>
      </c>
    </row>
    <row r="9" spans="1:33" ht="49.5" customHeight="1" thickBot="1">
      <c r="A9" s="202"/>
      <c r="B9" s="146"/>
      <c r="C9" s="205"/>
      <c r="D9" s="196"/>
      <c r="E9" s="205"/>
      <c r="F9" s="196"/>
      <c r="G9" s="197"/>
      <c r="H9" s="50"/>
      <c r="I9" s="115" t="s">
        <v>3</v>
      </c>
      <c r="J9" s="115" t="s">
        <v>0</v>
      </c>
      <c r="K9" s="7"/>
      <c r="L9" s="115" t="s">
        <v>3</v>
      </c>
      <c r="M9" s="115" t="s">
        <v>45</v>
      </c>
      <c r="O9" s="205"/>
      <c r="P9" s="196"/>
      <c r="Q9" s="197"/>
      <c r="R9" s="186"/>
      <c r="S9" s="205"/>
      <c r="T9" s="196"/>
      <c r="U9" s="197"/>
      <c r="V9" s="147"/>
      <c r="W9" s="199"/>
    </row>
    <row r="10" spans="1:33" ht="28.5" customHeight="1">
      <c r="A10" s="4" t="s">
        <v>99</v>
      </c>
      <c r="C10" s="258">
        <v>33444</v>
      </c>
      <c r="E10" s="4">
        <v>1086348298</v>
      </c>
      <c r="G10" s="258">
        <v>1007323751</v>
      </c>
      <c r="I10" s="4">
        <v>0</v>
      </c>
      <c r="J10" s="4">
        <v>0</v>
      </c>
      <c r="K10" s="148"/>
      <c r="L10" s="4">
        <v>0</v>
      </c>
      <c r="M10" s="4">
        <v>0</v>
      </c>
      <c r="O10" s="4">
        <v>33444</v>
      </c>
      <c r="Q10" s="259">
        <v>40270</v>
      </c>
      <c r="S10" s="4">
        <v>1086348298</v>
      </c>
      <c r="U10" s="258">
        <v>1338776484</v>
      </c>
      <c r="V10" s="148"/>
      <c r="W10" s="8">
        <f>U10/درآمدها!$J$5</f>
        <v>1.3380824990193932E-2</v>
      </c>
      <c r="Z10" s="149"/>
      <c r="AC10" s="149"/>
      <c r="AD10" s="150"/>
      <c r="AE10" s="149"/>
      <c r="AF10" s="150"/>
      <c r="AG10" s="149"/>
    </row>
    <row r="11" spans="1:33" ht="28.5" customHeight="1">
      <c r="A11" s="4" t="s">
        <v>140</v>
      </c>
      <c r="C11" s="258">
        <v>67316</v>
      </c>
      <c r="E11" s="4">
        <v>1308035336</v>
      </c>
      <c r="G11" s="258">
        <v>1079346531</v>
      </c>
      <c r="I11" s="4">
        <v>0</v>
      </c>
      <c r="J11" s="4">
        <v>0</v>
      </c>
      <c r="K11" s="148"/>
      <c r="L11" s="4">
        <v>0</v>
      </c>
      <c r="M11" s="4">
        <v>0</v>
      </c>
      <c r="O11" s="4">
        <v>67316</v>
      </c>
      <c r="Q11" s="259">
        <v>16520</v>
      </c>
      <c r="S11" s="4">
        <v>1308035336</v>
      </c>
      <c r="U11" s="258">
        <v>1105443566</v>
      </c>
      <c r="V11" s="148"/>
      <c r="W11" s="8">
        <f>U11/درآمدها!$J$5</f>
        <v>1.1048705343992205E-2</v>
      </c>
      <c r="Z11" s="149"/>
      <c r="AC11" s="149"/>
      <c r="AD11" s="150"/>
      <c r="AE11" s="149"/>
      <c r="AF11" s="150"/>
      <c r="AG11" s="149"/>
    </row>
    <row r="12" spans="1:33" ht="28.5" customHeight="1">
      <c r="A12" s="4" t="s">
        <v>123</v>
      </c>
      <c r="C12" s="258">
        <v>64886</v>
      </c>
      <c r="E12" s="4">
        <v>1121315880</v>
      </c>
      <c r="G12" s="258">
        <v>1268068595</v>
      </c>
      <c r="I12" s="4">
        <v>0</v>
      </c>
      <c r="J12" s="4">
        <v>0</v>
      </c>
      <c r="K12" s="148"/>
      <c r="L12" s="4">
        <v>0</v>
      </c>
      <c r="M12" s="4">
        <v>0</v>
      </c>
      <c r="O12" s="4">
        <v>64886</v>
      </c>
      <c r="Q12" s="259">
        <v>20860</v>
      </c>
      <c r="S12" s="4">
        <v>1121315880</v>
      </c>
      <c r="U12" s="258">
        <v>1345468508</v>
      </c>
      <c r="V12" s="148"/>
      <c r="W12" s="8">
        <f>U12/درآمدها!$J$5</f>
        <v>1.344771054057844E-2</v>
      </c>
      <c r="Z12" s="149"/>
      <c r="AC12" s="149"/>
      <c r="AD12" s="150"/>
      <c r="AE12" s="149"/>
      <c r="AF12" s="150"/>
      <c r="AG12" s="149"/>
    </row>
    <row r="13" spans="1:33" ht="28.5" customHeight="1">
      <c r="A13" s="4" t="s">
        <v>121</v>
      </c>
      <c r="C13" s="258">
        <v>227817</v>
      </c>
      <c r="E13" s="4">
        <v>2962200639</v>
      </c>
      <c r="G13" s="258">
        <v>2756036324</v>
      </c>
      <c r="I13" s="4">
        <v>0</v>
      </c>
      <c r="J13" s="4">
        <v>0</v>
      </c>
      <c r="K13" s="148"/>
      <c r="L13" s="4">
        <v>0</v>
      </c>
      <c r="M13" s="4">
        <v>0</v>
      </c>
      <c r="O13" s="4">
        <v>227817</v>
      </c>
      <c r="Q13" s="259">
        <v>10840</v>
      </c>
      <c r="S13" s="4">
        <v>2962200639</v>
      </c>
      <c r="U13" s="258">
        <v>2454842541</v>
      </c>
      <c r="V13" s="148"/>
      <c r="W13" s="8">
        <f>U13/درآمدها!$J$5</f>
        <v>2.4535700180108609E-2</v>
      </c>
      <c r="Z13" s="149"/>
      <c r="AC13" s="149"/>
      <c r="AD13" s="150"/>
      <c r="AE13" s="149"/>
      <c r="AF13" s="150"/>
      <c r="AG13" s="149"/>
    </row>
    <row r="14" spans="1:33" ht="28.5" customHeight="1">
      <c r="A14" s="4" t="s">
        <v>88</v>
      </c>
      <c r="C14" s="258">
        <v>158661</v>
      </c>
      <c r="E14" s="4">
        <v>1887101929</v>
      </c>
      <c r="G14" s="258">
        <v>1318513848</v>
      </c>
      <c r="I14" s="4">
        <v>0</v>
      </c>
      <c r="J14" s="4">
        <v>0</v>
      </c>
      <c r="K14" s="148"/>
      <c r="L14" s="4">
        <v>0</v>
      </c>
      <c r="M14" s="4">
        <v>0</v>
      </c>
      <c r="O14" s="4">
        <v>158661</v>
      </c>
      <c r="Q14" s="259">
        <v>7910</v>
      </c>
      <c r="S14" s="4">
        <v>1887101929</v>
      </c>
      <c r="U14" s="258">
        <v>1247541212</v>
      </c>
      <c r="V14" s="148"/>
      <c r="W14" s="8">
        <f>U14/درآمدها!$J$5</f>
        <v>1.2468945208800385E-2</v>
      </c>
      <c r="Z14" s="149"/>
      <c r="AC14" s="149"/>
      <c r="AD14" s="150"/>
      <c r="AE14" s="149"/>
      <c r="AF14" s="150"/>
      <c r="AG14" s="149"/>
    </row>
    <row r="15" spans="1:33" ht="28.5" customHeight="1">
      <c r="A15" s="4" t="s">
        <v>111</v>
      </c>
      <c r="C15" s="258">
        <v>2313871</v>
      </c>
      <c r="E15" s="4">
        <v>7683755524</v>
      </c>
      <c r="G15" s="258">
        <v>6145876470</v>
      </c>
      <c r="I15" s="4">
        <v>0</v>
      </c>
      <c r="J15" s="4">
        <v>0</v>
      </c>
      <c r="K15" s="148"/>
      <c r="L15" s="4">
        <v>148000</v>
      </c>
      <c r="M15" s="4">
        <v>398451737</v>
      </c>
      <c r="O15" s="4">
        <v>2165871</v>
      </c>
      <c r="Q15" s="259">
        <v>2866</v>
      </c>
      <c r="S15" s="4">
        <v>7192286545</v>
      </c>
      <c r="U15" s="258">
        <v>6170452341</v>
      </c>
      <c r="V15" s="148"/>
      <c r="W15" s="8">
        <f>U15/درآمدها!$J$5</f>
        <v>6.1672537478820434E-2</v>
      </c>
      <c r="Z15" s="149"/>
      <c r="AC15" s="149"/>
      <c r="AD15" s="150"/>
      <c r="AE15" s="149"/>
      <c r="AF15" s="150"/>
      <c r="AG15" s="149"/>
    </row>
    <row r="16" spans="1:33" ht="28.5" customHeight="1">
      <c r="A16" s="4" t="s">
        <v>124</v>
      </c>
      <c r="C16" s="258">
        <v>2076998</v>
      </c>
      <c r="E16" s="4">
        <v>2498067889</v>
      </c>
      <c r="G16" s="258">
        <v>2124514423</v>
      </c>
      <c r="I16" s="4">
        <v>0</v>
      </c>
      <c r="J16" s="4">
        <v>0</v>
      </c>
      <c r="K16" s="148"/>
      <c r="L16" s="4">
        <v>0</v>
      </c>
      <c r="M16" s="4">
        <v>0</v>
      </c>
      <c r="O16" s="4">
        <v>2076998</v>
      </c>
      <c r="Q16" s="259">
        <v>1133</v>
      </c>
      <c r="S16" s="4">
        <v>2498067889</v>
      </c>
      <c r="U16" s="258">
        <v>2339236966</v>
      </c>
      <c r="V16" s="148"/>
      <c r="W16" s="8">
        <f>U16/درآمدها!$J$5</f>
        <v>2.3380243697676297E-2</v>
      </c>
      <c r="Z16" s="149"/>
      <c r="AC16" s="149"/>
      <c r="AD16" s="150"/>
      <c r="AE16" s="149"/>
      <c r="AF16" s="150"/>
      <c r="AG16" s="149"/>
    </row>
    <row r="17" spans="1:33" ht="28.5" customHeight="1">
      <c r="A17" s="4" t="s">
        <v>102</v>
      </c>
      <c r="C17" s="258">
        <v>40877</v>
      </c>
      <c r="E17" s="4">
        <v>961580718</v>
      </c>
      <c r="G17" s="258">
        <v>915479109</v>
      </c>
      <c r="I17" s="4">
        <v>0</v>
      </c>
      <c r="J17" s="4">
        <v>0</v>
      </c>
      <c r="K17" s="148"/>
      <c r="L17" s="4">
        <v>0</v>
      </c>
      <c r="M17" s="4">
        <v>0</v>
      </c>
      <c r="O17" s="4">
        <v>40877</v>
      </c>
      <c r="Q17" s="259">
        <v>27530</v>
      </c>
      <c r="S17" s="4">
        <v>961580718</v>
      </c>
      <c r="U17" s="258">
        <v>1118648016</v>
      </c>
      <c r="V17" s="148"/>
      <c r="W17" s="8">
        <f>U17/درآمدها!$J$5</f>
        <v>1.1180681395747955E-2</v>
      </c>
      <c r="Z17" s="149"/>
      <c r="AC17" s="149"/>
      <c r="AD17" s="150"/>
      <c r="AE17" s="149"/>
      <c r="AF17" s="150"/>
      <c r="AG17" s="149"/>
    </row>
    <row r="18" spans="1:33" ht="28.5" customHeight="1">
      <c r="A18" s="4" t="s">
        <v>90</v>
      </c>
      <c r="C18" s="258">
        <v>192032</v>
      </c>
      <c r="E18" s="4">
        <v>4078895753</v>
      </c>
      <c r="G18" s="258">
        <v>3226031024</v>
      </c>
      <c r="I18" s="4">
        <v>0</v>
      </c>
      <c r="J18" s="4">
        <v>0</v>
      </c>
      <c r="K18" s="148"/>
      <c r="L18" s="4">
        <v>11800</v>
      </c>
      <c r="M18" s="4">
        <v>200299323</v>
      </c>
      <c r="O18" s="4">
        <v>180232</v>
      </c>
      <c r="Q18" s="259">
        <v>16240</v>
      </c>
      <c r="S18" s="4">
        <v>3828255392</v>
      </c>
      <c r="U18" s="258">
        <v>2909552225</v>
      </c>
      <c r="V18" s="148"/>
      <c r="W18" s="8">
        <f>U18/درآمدها!$J$5</f>
        <v>2.9080439929922128E-2</v>
      </c>
      <c r="Z18" s="149"/>
      <c r="AC18" s="151"/>
      <c r="AD18" s="150"/>
      <c r="AE18" s="149"/>
      <c r="AF18" s="150"/>
      <c r="AG18" s="149"/>
    </row>
    <row r="19" spans="1:33" ht="28.5" customHeight="1">
      <c r="A19" s="4" t="s">
        <v>91</v>
      </c>
      <c r="C19" s="258">
        <v>208254</v>
      </c>
      <c r="E19" s="4">
        <v>3820956787</v>
      </c>
      <c r="G19" s="258">
        <v>3740759044</v>
      </c>
      <c r="I19" s="4">
        <v>0</v>
      </c>
      <c r="J19" s="4">
        <v>0</v>
      </c>
      <c r="K19" s="148"/>
      <c r="L19" s="4">
        <v>0</v>
      </c>
      <c r="M19" s="4">
        <v>0</v>
      </c>
      <c r="O19" s="4">
        <v>208254</v>
      </c>
      <c r="Q19" s="259">
        <v>17290</v>
      </c>
      <c r="S19" s="4">
        <v>3820956787</v>
      </c>
      <c r="U19" s="258">
        <v>3579287429</v>
      </c>
      <c r="V19" s="148"/>
      <c r="W19" s="8">
        <f>U19/درآمدها!$J$5</f>
        <v>3.5774320246463327E-2</v>
      </c>
      <c r="Z19" s="149"/>
      <c r="AC19" s="149"/>
      <c r="AD19" s="150"/>
      <c r="AE19" s="149"/>
      <c r="AF19" s="150"/>
      <c r="AG19" s="149"/>
    </row>
    <row r="20" spans="1:33" ht="28.5" customHeight="1">
      <c r="A20" s="4" t="s">
        <v>141</v>
      </c>
      <c r="C20" s="258">
        <v>625000</v>
      </c>
      <c r="E20" s="4">
        <v>6380788500</v>
      </c>
      <c r="G20" s="258">
        <v>5249826564</v>
      </c>
      <c r="I20" s="4">
        <v>0</v>
      </c>
      <c r="J20" s="4">
        <v>0</v>
      </c>
      <c r="K20" s="148"/>
      <c r="L20" s="4">
        <v>90000</v>
      </c>
      <c r="M20" s="4">
        <v>1086017312</v>
      </c>
      <c r="O20" s="4">
        <v>535000</v>
      </c>
      <c r="Q20" s="259">
        <v>11970</v>
      </c>
      <c r="S20" s="4">
        <v>5461954956</v>
      </c>
      <c r="U20" s="258">
        <v>6365846500</v>
      </c>
      <c r="V20" s="148"/>
      <c r="W20" s="8">
        <f>U20/درآمدها!$J$5</f>
        <v>6.3625466199134825E-2</v>
      </c>
      <c r="Z20" s="149"/>
      <c r="AC20" s="149"/>
      <c r="AD20" s="150"/>
      <c r="AE20" s="149"/>
      <c r="AF20" s="150"/>
      <c r="AG20" s="149"/>
    </row>
    <row r="21" spans="1:33" ht="28.5" customHeight="1">
      <c r="A21" s="4" t="s">
        <v>125</v>
      </c>
      <c r="C21" s="258">
        <v>572500</v>
      </c>
      <c r="E21" s="4">
        <v>7563861753</v>
      </c>
      <c r="G21" s="258">
        <v>6208811451</v>
      </c>
      <c r="I21" s="4">
        <v>0</v>
      </c>
      <c r="J21" s="4">
        <v>0</v>
      </c>
      <c r="K21" s="148"/>
      <c r="L21" s="4">
        <v>0</v>
      </c>
      <c r="M21" s="4">
        <v>0</v>
      </c>
      <c r="O21" s="4">
        <v>572500</v>
      </c>
      <c r="Q21" s="259">
        <v>11340</v>
      </c>
      <c r="S21" s="4">
        <v>7563861753</v>
      </c>
      <c r="U21" s="258">
        <v>6453521710</v>
      </c>
      <c r="V21" s="148"/>
      <c r="W21" s="8">
        <f>U21/درآمدها!$J$5</f>
        <v>6.4501763814912558E-2</v>
      </c>
      <c r="Z21" s="149"/>
      <c r="AC21" s="149"/>
      <c r="AD21" s="150"/>
      <c r="AE21" s="149"/>
      <c r="AF21" s="150"/>
      <c r="AG21" s="149"/>
    </row>
    <row r="22" spans="1:33" ht="28.5" customHeight="1">
      <c r="A22" s="4" t="s">
        <v>103</v>
      </c>
      <c r="C22" s="258">
        <v>64355</v>
      </c>
      <c r="E22" s="4">
        <v>990259829</v>
      </c>
      <c r="G22" s="258">
        <v>793253889</v>
      </c>
      <c r="I22" s="4">
        <v>0</v>
      </c>
      <c r="J22" s="4">
        <v>0</v>
      </c>
      <c r="K22" s="148"/>
      <c r="L22" s="4">
        <v>0</v>
      </c>
      <c r="M22" s="4">
        <v>0</v>
      </c>
      <c r="O22" s="4">
        <v>64355</v>
      </c>
      <c r="Q22" s="259">
        <v>11720</v>
      </c>
      <c r="S22" s="4">
        <v>990259829</v>
      </c>
      <c r="U22" s="258">
        <v>749752871</v>
      </c>
      <c r="V22" s="148"/>
      <c r="W22" s="8">
        <f>U22/درآمدها!$J$5</f>
        <v>7.4936421969198901E-3</v>
      </c>
      <c r="Z22" s="149"/>
      <c r="AC22" s="149"/>
      <c r="AD22" s="150"/>
      <c r="AE22" s="149"/>
      <c r="AF22" s="150"/>
      <c r="AG22" s="149"/>
    </row>
    <row r="23" spans="1:33" ht="28.5" customHeight="1">
      <c r="A23" s="4" t="s">
        <v>126</v>
      </c>
      <c r="C23" s="258">
        <v>200000</v>
      </c>
      <c r="E23" s="4">
        <v>1691534520</v>
      </c>
      <c r="G23" s="258">
        <v>2013945300</v>
      </c>
      <c r="I23" s="4">
        <v>0</v>
      </c>
      <c r="J23" s="4">
        <v>0</v>
      </c>
      <c r="K23" s="148"/>
      <c r="L23" s="4">
        <v>0</v>
      </c>
      <c r="M23" s="4">
        <v>0</v>
      </c>
      <c r="O23" s="4">
        <v>200000</v>
      </c>
      <c r="Q23" s="259">
        <v>10350</v>
      </c>
      <c r="S23" s="4">
        <v>1691534520</v>
      </c>
      <c r="U23" s="258">
        <v>2057683500</v>
      </c>
      <c r="V23" s="148"/>
      <c r="W23" s="8">
        <f>U23/درآمدها!$J$5</f>
        <v>2.056616853355912E-2</v>
      </c>
      <c r="Z23" s="149"/>
      <c r="AC23" s="149"/>
      <c r="AD23" s="150"/>
      <c r="AE23" s="149"/>
      <c r="AF23" s="150"/>
      <c r="AG23" s="149"/>
    </row>
    <row r="24" spans="1:33" ht="28.5" customHeight="1">
      <c r="A24" s="4" t="s">
        <v>110</v>
      </c>
      <c r="C24" s="258">
        <v>337658</v>
      </c>
      <c r="E24" s="4">
        <v>2733723831</v>
      </c>
      <c r="G24" s="258">
        <v>2641557119</v>
      </c>
      <c r="I24" s="4">
        <v>0</v>
      </c>
      <c r="J24" s="4">
        <v>0</v>
      </c>
      <c r="K24" s="148"/>
      <c r="L24" s="4">
        <v>0</v>
      </c>
      <c r="M24" s="4">
        <v>0</v>
      </c>
      <c r="O24" s="4">
        <v>337658</v>
      </c>
      <c r="Q24" s="259">
        <v>8170</v>
      </c>
      <c r="S24" s="4">
        <v>2733723831</v>
      </c>
      <c r="U24" s="258">
        <v>2742251803</v>
      </c>
      <c r="V24" s="148"/>
      <c r="W24" s="8">
        <f>U24/درآمدها!$J$5</f>
        <v>2.7408302949386707E-2</v>
      </c>
      <c r="Z24" s="149"/>
      <c r="AC24" s="149"/>
      <c r="AD24" s="150"/>
      <c r="AE24" s="149"/>
      <c r="AF24" s="150"/>
      <c r="AG24" s="149"/>
    </row>
    <row r="25" spans="1:33" ht="28.5" customHeight="1">
      <c r="A25" s="4" t="s">
        <v>105</v>
      </c>
      <c r="C25" s="258">
        <v>36974</v>
      </c>
      <c r="E25" s="4">
        <v>945143090</v>
      </c>
      <c r="G25" s="258">
        <v>807117947</v>
      </c>
      <c r="I25" s="4">
        <v>0</v>
      </c>
      <c r="J25" s="4">
        <v>0</v>
      </c>
      <c r="K25" s="148"/>
      <c r="L25" s="4">
        <v>0</v>
      </c>
      <c r="M25" s="4">
        <v>0</v>
      </c>
      <c r="O25" s="4">
        <v>36974</v>
      </c>
      <c r="Q25" s="259">
        <v>24940</v>
      </c>
      <c r="S25" s="4">
        <v>945143090</v>
      </c>
      <c r="U25" s="258">
        <v>916644883</v>
      </c>
      <c r="V25" s="148"/>
      <c r="W25" s="8">
        <f>U25/درآمدها!$J$5</f>
        <v>9.1616971945406474E-3</v>
      </c>
      <c r="Z25" s="149"/>
      <c r="AC25" s="149"/>
      <c r="AD25" s="150"/>
      <c r="AE25" s="149"/>
      <c r="AF25" s="150"/>
      <c r="AG25" s="149"/>
    </row>
    <row r="26" spans="1:33" ht="28.5" customHeight="1">
      <c r="A26" s="4" t="s">
        <v>92</v>
      </c>
      <c r="C26" s="258">
        <v>80279</v>
      </c>
      <c r="E26" s="4">
        <v>4128599680</v>
      </c>
      <c r="G26" s="258">
        <v>3903881555</v>
      </c>
      <c r="I26" s="4">
        <v>0</v>
      </c>
      <c r="J26" s="4">
        <v>0</v>
      </c>
      <c r="K26" s="148"/>
      <c r="L26" s="4">
        <v>4080</v>
      </c>
      <c r="M26" s="4">
        <v>199136060</v>
      </c>
      <c r="O26" s="4">
        <v>76199</v>
      </c>
      <c r="Q26" s="259">
        <v>47910</v>
      </c>
      <c r="S26" s="4">
        <v>3918772867</v>
      </c>
      <c r="U26" s="258">
        <v>3628972464</v>
      </c>
      <c r="V26" s="148"/>
      <c r="W26" s="8">
        <f>U26/درآمدها!$J$5</f>
        <v>3.627091304288016E-2</v>
      </c>
      <c r="Z26" s="149"/>
      <c r="AC26" s="149"/>
      <c r="AD26" s="150"/>
      <c r="AE26" s="149"/>
      <c r="AF26" s="150"/>
      <c r="AG26" s="149"/>
    </row>
    <row r="27" spans="1:33" ht="28.5" customHeight="1">
      <c r="A27" s="4" t="s">
        <v>93</v>
      </c>
      <c r="C27" s="258">
        <v>870173</v>
      </c>
      <c r="E27" s="4">
        <v>9276620550</v>
      </c>
      <c r="G27" s="258">
        <v>7110262773</v>
      </c>
      <c r="I27" s="4">
        <v>0</v>
      </c>
      <c r="J27" s="4">
        <v>0</v>
      </c>
      <c r="K27" s="148"/>
      <c r="L27" s="4">
        <v>62500</v>
      </c>
      <c r="M27" s="4">
        <v>497025000</v>
      </c>
      <c r="O27" s="4">
        <v>807673</v>
      </c>
      <c r="Q27" s="259">
        <v>8040</v>
      </c>
      <c r="S27" s="4">
        <v>8610329152</v>
      </c>
      <c r="U27" s="258">
        <v>6455053462</v>
      </c>
      <c r="V27" s="148"/>
      <c r="W27" s="8">
        <f>U27/درآمدها!$J$5</f>
        <v>6.4517073394730659E-2</v>
      </c>
      <c r="Z27" s="149"/>
      <c r="AC27" s="149"/>
      <c r="AD27" s="150"/>
      <c r="AE27" s="149"/>
      <c r="AF27" s="150"/>
      <c r="AG27" s="149"/>
    </row>
    <row r="28" spans="1:33" ht="28.5" customHeight="1">
      <c r="A28" s="4" t="s">
        <v>94</v>
      </c>
      <c r="C28" s="258">
        <v>1799845</v>
      </c>
      <c r="E28" s="4">
        <v>12827930872</v>
      </c>
      <c r="G28" s="258">
        <v>10019161169</v>
      </c>
      <c r="I28" s="4">
        <v>0</v>
      </c>
      <c r="J28" s="4">
        <v>0</v>
      </c>
      <c r="K28" s="148"/>
      <c r="L28" s="4">
        <v>0</v>
      </c>
      <c r="M28" s="4">
        <v>0</v>
      </c>
      <c r="O28" s="4">
        <v>1799845</v>
      </c>
      <c r="Q28" s="259">
        <v>6330</v>
      </c>
      <c r="S28" s="4">
        <v>12827930872</v>
      </c>
      <c r="U28" s="258">
        <v>11325230390</v>
      </c>
      <c r="V28" s="148"/>
      <c r="W28" s="8">
        <f>U28/درآمدها!$J$5</f>
        <v>0.11319359701437343</v>
      </c>
      <c r="Z28" s="149"/>
      <c r="AC28" s="149"/>
      <c r="AD28" s="150"/>
      <c r="AE28" s="149"/>
      <c r="AF28" s="150"/>
      <c r="AG28" s="149"/>
    </row>
    <row r="29" spans="1:33" ht="28.5" customHeight="1">
      <c r="A29" s="4" t="s">
        <v>95</v>
      </c>
      <c r="C29" s="258">
        <v>913362</v>
      </c>
      <c r="E29" s="4">
        <v>3221064767</v>
      </c>
      <c r="G29" s="258">
        <v>3133257792</v>
      </c>
      <c r="I29" s="4">
        <v>386931</v>
      </c>
      <c r="J29" s="4">
        <v>0</v>
      </c>
      <c r="K29" s="148"/>
      <c r="L29" s="4">
        <v>139500</v>
      </c>
      <c r="M29" s="4">
        <v>498871956</v>
      </c>
      <c r="O29" s="4">
        <v>1160793</v>
      </c>
      <c r="Q29" s="259">
        <v>2401.333333333333</v>
      </c>
      <c r="S29" s="4">
        <v>2729103710</v>
      </c>
      <c r="U29" s="258">
        <v>2770865595</v>
      </c>
      <c r="V29" s="148"/>
      <c r="W29" s="8">
        <f>U29/درآمدها!$J$5</f>
        <v>2.769429254334331E-2</v>
      </c>
      <c r="Z29" s="149"/>
      <c r="AC29" s="149"/>
      <c r="AD29" s="150"/>
      <c r="AE29" s="149"/>
      <c r="AF29" s="150"/>
      <c r="AG29" s="149"/>
    </row>
    <row r="30" spans="1:33" ht="28.5" customHeight="1" thickBot="1">
      <c r="A30" s="4" t="s">
        <v>2</v>
      </c>
      <c r="C30" s="258"/>
      <c r="E30" s="116">
        <f>SUM(E10:E29)</f>
        <v>77167786145</v>
      </c>
      <c r="G30" s="260">
        <f>SUM(G10:G29)</f>
        <v>65463024678</v>
      </c>
      <c r="J30" s="116">
        <f>SUM(J10:J29)</f>
        <v>0</v>
      </c>
      <c r="K30" s="148"/>
      <c r="M30" s="116">
        <f>SUM(M10:M29)</f>
        <v>2879801388</v>
      </c>
      <c r="S30" s="116">
        <f>SUM(S10:S29)</f>
        <v>74138763993</v>
      </c>
      <c r="U30" s="116">
        <f>SUM(U10:U29)</f>
        <v>67075072466</v>
      </c>
      <c r="V30" s="148"/>
      <c r="W30" s="54">
        <f>SUM(W10:W29)</f>
        <v>0.67040302589608503</v>
      </c>
      <c r="Z30" s="149"/>
      <c r="AC30" s="149"/>
      <c r="AD30" s="150"/>
      <c r="AE30" s="149"/>
      <c r="AF30" s="150"/>
      <c r="AG30" s="149"/>
    </row>
    <row r="31" spans="1:33" ht="31.5" thickTop="1">
      <c r="A31" s="4"/>
    </row>
    <row r="32" spans="1:33" s="152" customFormat="1" ht="15.75"/>
    <row r="33" spans="2:15" s="152" customFormat="1" ht="15.75"/>
    <row r="34" spans="2:15" s="152" customFormat="1" ht="15.75"/>
    <row r="35" spans="2:15" s="152" customFormat="1" ht="15.75"/>
    <row r="36" spans="2:15" s="152" customFormat="1" ht="15.75"/>
    <row r="37" spans="2:15" s="152" customFormat="1" ht="15.75"/>
    <row r="38" spans="2:15" s="152" customFormat="1" ht="15.75"/>
    <row r="39" spans="2:15" s="152" customFormat="1">
      <c r="O39" s="4"/>
    </row>
    <row r="40" spans="2:15">
      <c r="B40" s="4"/>
    </row>
    <row r="41" spans="2:15">
      <c r="B41" s="4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K24"/>
  <sheetViews>
    <sheetView rightToLeft="1" view="pageBreakPreview" zoomScale="55" zoomScaleNormal="100" zoomScaleSheetLayoutView="55" workbookViewId="0">
      <selection activeCell="E17" sqref="E17"/>
    </sheetView>
  </sheetViews>
  <sheetFormatPr defaultColWidth="9.140625" defaultRowHeight="27.75"/>
  <cols>
    <col min="1" max="1" width="45.140625" style="154" bestFit="1" customWidth="1"/>
    <col min="2" max="2" width="0.5703125" style="154" customWidth="1"/>
    <col min="3" max="3" width="24.28515625" style="154" bestFit="1" customWidth="1"/>
    <col min="4" max="4" width="0.5703125" style="154" customWidth="1"/>
    <col min="5" max="5" width="37.42578125" style="154" bestFit="1" customWidth="1"/>
    <col min="6" max="6" width="0.5703125" style="154" customWidth="1"/>
    <col min="7" max="7" width="20.28515625" style="154" bestFit="1" customWidth="1"/>
    <col min="8" max="8" width="0.5703125" style="154" customWidth="1"/>
    <col min="9" max="9" width="16.7109375" style="154" bestFit="1" customWidth="1"/>
    <col min="10" max="10" width="0.42578125" style="154" customWidth="1"/>
    <col min="11" max="11" width="17.28515625" style="154" bestFit="1" customWidth="1"/>
    <col min="12" max="12" width="0.7109375" style="154" customWidth="1"/>
    <col min="13" max="13" width="12" style="154" bestFit="1" customWidth="1"/>
    <col min="14" max="14" width="1.140625" style="154" customWidth="1"/>
    <col min="15" max="15" width="24" style="154" bestFit="1" customWidth="1"/>
    <col min="16" max="16" width="0.5703125" style="154" customWidth="1"/>
    <col min="17" max="17" width="24" style="154" bestFit="1" customWidth="1"/>
    <col min="18" max="18" width="0.5703125" style="154" customWidth="1"/>
    <col min="19" max="19" width="7.85546875" style="154" bestFit="1" customWidth="1"/>
    <col min="20" max="20" width="17.28515625" style="154" bestFit="1" customWidth="1"/>
    <col min="21" max="21" width="0.5703125" style="154" customWidth="1"/>
    <col min="22" max="22" width="12" style="154" bestFit="1" customWidth="1"/>
    <col min="23" max="23" width="24" style="154" bestFit="1" customWidth="1"/>
    <col min="24" max="24" width="0.5703125" style="154" customWidth="1"/>
    <col min="25" max="25" width="12" style="154" bestFit="1" customWidth="1"/>
    <col min="26" max="26" width="0.42578125" style="154" customWidth="1"/>
    <col min="27" max="27" width="21" style="154" bestFit="1" customWidth="1"/>
    <col min="28" max="28" width="0.7109375" style="154" customWidth="1"/>
    <col min="29" max="29" width="24" style="154" bestFit="1" customWidth="1"/>
    <col min="30" max="30" width="0.7109375" style="154" customWidth="1"/>
    <col min="31" max="31" width="24" style="154" bestFit="1" customWidth="1"/>
    <col min="32" max="32" width="0.7109375" style="154" customWidth="1"/>
    <col min="33" max="33" width="23" style="154" bestFit="1" customWidth="1"/>
    <col min="34" max="34" width="20.5703125" style="178" customWidth="1"/>
    <col min="35" max="35" width="25.42578125" style="178" bestFit="1" customWidth="1"/>
    <col min="36" max="37" width="9.140625" style="178"/>
    <col min="38" max="16384" width="9.140625" style="154"/>
  </cols>
  <sheetData>
    <row r="1" spans="1:37" s="153" customFormat="1" ht="27">
      <c r="A1" s="211" t="s">
        <v>87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177"/>
      <c r="AI1" s="177"/>
      <c r="AJ1" s="177"/>
      <c r="AK1" s="177"/>
    </row>
    <row r="2" spans="1:37" s="153" customFormat="1" ht="27">
      <c r="A2" s="211" t="s">
        <v>46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177"/>
      <c r="AI2" s="177"/>
      <c r="AJ2" s="177"/>
      <c r="AK2" s="177"/>
    </row>
    <row r="3" spans="1:37" s="153" customFormat="1" ht="27">
      <c r="A3" s="211" t="str">
        <f>' سهام'!A3:W3</f>
        <v>برای ماه منتهی به 1403/04/31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177"/>
      <c r="AI3" s="177"/>
      <c r="AJ3" s="177"/>
      <c r="AK3" s="177"/>
    </row>
    <row r="4" spans="1:37">
      <c r="A4" s="217" t="s">
        <v>63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</row>
    <row r="5" spans="1:37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</row>
    <row r="6" spans="1:37" ht="27.75" customHeight="1" thickBot="1">
      <c r="A6" s="210" t="s">
        <v>64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 t="str">
        <f>' سهام'!C7</f>
        <v>1403/03/31</v>
      </c>
      <c r="N6" s="210"/>
      <c r="O6" s="210"/>
      <c r="P6" s="210"/>
      <c r="Q6" s="210"/>
      <c r="R6" s="189"/>
      <c r="S6" s="218" t="s">
        <v>7</v>
      </c>
      <c r="T6" s="218"/>
      <c r="U6" s="218"/>
      <c r="V6" s="218"/>
      <c r="W6" s="218"/>
      <c r="X6" s="187"/>
      <c r="Y6" s="210" t="str">
        <f>' سهام'!O7</f>
        <v>1403/04/31</v>
      </c>
      <c r="Z6" s="210"/>
      <c r="AA6" s="210"/>
      <c r="AB6" s="210"/>
      <c r="AC6" s="210"/>
      <c r="AD6" s="210"/>
      <c r="AE6" s="210"/>
      <c r="AF6" s="210"/>
      <c r="AG6" s="210"/>
    </row>
    <row r="7" spans="1:37" ht="26.25" customHeight="1">
      <c r="A7" s="208" t="s">
        <v>65</v>
      </c>
      <c r="B7" s="188"/>
      <c r="C7" s="214" t="s">
        <v>66</v>
      </c>
      <c r="D7" s="188"/>
      <c r="E7" s="216" t="s">
        <v>71</v>
      </c>
      <c r="F7" s="188"/>
      <c r="G7" s="209" t="s">
        <v>67</v>
      </c>
      <c r="H7" s="188"/>
      <c r="I7" s="214" t="s">
        <v>20</v>
      </c>
      <c r="J7" s="188"/>
      <c r="K7" s="216" t="s">
        <v>68</v>
      </c>
      <c r="L7" s="155"/>
      <c r="M7" s="212" t="s">
        <v>3</v>
      </c>
      <c r="N7" s="209"/>
      <c r="O7" s="209" t="s">
        <v>0</v>
      </c>
      <c r="P7" s="209"/>
      <c r="Q7" s="209" t="s">
        <v>18</v>
      </c>
      <c r="R7" s="188"/>
      <c r="S7" s="211" t="s">
        <v>4</v>
      </c>
      <c r="T7" s="211"/>
      <c r="U7" s="187"/>
      <c r="V7" s="211" t="s">
        <v>5</v>
      </c>
      <c r="W7" s="211"/>
      <c r="X7" s="187"/>
      <c r="Y7" s="212" t="s">
        <v>3</v>
      </c>
      <c r="Z7" s="208"/>
      <c r="AA7" s="209" t="s">
        <v>69</v>
      </c>
      <c r="AB7" s="188"/>
      <c r="AC7" s="209" t="s">
        <v>0</v>
      </c>
      <c r="AD7" s="208"/>
      <c r="AE7" s="209" t="s">
        <v>18</v>
      </c>
      <c r="AF7" s="156"/>
      <c r="AG7" s="209" t="s">
        <v>19</v>
      </c>
    </row>
    <row r="8" spans="1:37" s="159" customFormat="1" ht="55.5" customHeight="1" thickBot="1">
      <c r="A8" s="210"/>
      <c r="B8" s="188"/>
      <c r="C8" s="215"/>
      <c r="D8" s="188"/>
      <c r="E8" s="215"/>
      <c r="F8" s="188"/>
      <c r="G8" s="210"/>
      <c r="H8" s="188"/>
      <c r="I8" s="215"/>
      <c r="J8" s="188"/>
      <c r="K8" s="215"/>
      <c r="L8" s="189"/>
      <c r="M8" s="213"/>
      <c r="N8" s="208"/>
      <c r="O8" s="210"/>
      <c r="P8" s="208"/>
      <c r="Q8" s="210"/>
      <c r="R8" s="188"/>
      <c r="S8" s="157" t="s">
        <v>3</v>
      </c>
      <c r="T8" s="157" t="s">
        <v>0</v>
      </c>
      <c r="U8" s="158"/>
      <c r="V8" s="157" t="s">
        <v>3</v>
      </c>
      <c r="W8" s="157" t="s">
        <v>45</v>
      </c>
      <c r="X8" s="158"/>
      <c r="Y8" s="213"/>
      <c r="Z8" s="208"/>
      <c r="AA8" s="210"/>
      <c r="AB8" s="188"/>
      <c r="AC8" s="210"/>
      <c r="AD8" s="208"/>
      <c r="AE8" s="210"/>
      <c r="AF8" s="156"/>
      <c r="AG8" s="210"/>
      <c r="AH8" s="179"/>
      <c r="AI8" s="179"/>
      <c r="AJ8" s="179"/>
      <c r="AK8" s="179"/>
    </row>
    <row r="9" spans="1:37" s="159" customFormat="1" ht="55.5" customHeight="1">
      <c r="A9" s="160" t="s">
        <v>112</v>
      </c>
      <c r="B9" s="188"/>
      <c r="C9" s="161" t="s">
        <v>109</v>
      </c>
      <c r="D9" s="143"/>
      <c r="E9" s="161" t="s">
        <v>109</v>
      </c>
      <c r="F9" s="143"/>
      <c r="G9" s="161" t="s">
        <v>115</v>
      </c>
      <c r="H9" s="143"/>
      <c r="I9" s="161" t="s">
        <v>117</v>
      </c>
      <c r="J9" s="161"/>
      <c r="K9" s="162">
        <v>1000000</v>
      </c>
      <c r="L9" s="189"/>
      <c r="M9" s="4">
        <v>13820</v>
      </c>
      <c r="N9" s="148"/>
      <c r="O9" s="4">
        <v>9316257610</v>
      </c>
      <c r="P9" s="4"/>
      <c r="Q9" s="4">
        <v>10209332626</v>
      </c>
      <c r="R9" s="4"/>
      <c r="S9" s="4">
        <v>0</v>
      </c>
      <c r="T9" s="4">
        <v>0</v>
      </c>
      <c r="U9" s="4"/>
      <c r="V9" s="4">
        <v>400</v>
      </c>
      <c r="W9" s="4">
        <v>300265568</v>
      </c>
      <c r="X9" s="4"/>
      <c r="Y9" s="4">
        <v>13420</v>
      </c>
      <c r="Z9" s="4"/>
      <c r="AA9" s="261">
        <v>753350</v>
      </c>
      <c r="AB9" s="4"/>
      <c r="AC9" s="4">
        <v>9046611948</v>
      </c>
      <c r="AD9" s="4"/>
      <c r="AE9" s="4">
        <v>10108124573</v>
      </c>
      <c r="AG9" s="8">
        <f>AE9/درآمدها!$J$5</f>
        <v>0.10102884798683971</v>
      </c>
      <c r="AH9" s="180"/>
      <c r="AI9" s="181"/>
      <c r="AJ9" s="179"/>
      <c r="AK9" s="179"/>
    </row>
    <row r="10" spans="1:37" s="159" customFormat="1" ht="55.5" customHeight="1">
      <c r="A10" s="160" t="s">
        <v>127</v>
      </c>
      <c r="B10" s="188"/>
      <c r="C10" s="161" t="s">
        <v>109</v>
      </c>
      <c r="D10" s="143"/>
      <c r="E10" s="161" t="s">
        <v>109</v>
      </c>
      <c r="F10" s="143"/>
      <c r="G10" s="161" t="s">
        <v>128</v>
      </c>
      <c r="H10" s="143"/>
      <c r="I10" s="161" t="s">
        <v>129</v>
      </c>
      <c r="J10" s="161"/>
      <c r="K10" s="162">
        <v>1000000</v>
      </c>
      <c r="L10" s="189"/>
      <c r="M10" s="4">
        <v>8000</v>
      </c>
      <c r="N10" s="148"/>
      <c r="O10" s="4">
        <v>4953173588</v>
      </c>
      <c r="P10" s="4"/>
      <c r="Q10" s="4">
        <v>5435654610</v>
      </c>
      <c r="R10" s="4"/>
      <c r="S10" s="4">
        <v>0</v>
      </c>
      <c r="T10" s="4">
        <v>0</v>
      </c>
      <c r="U10" s="4"/>
      <c r="V10" s="4">
        <v>0</v>
      </c>
      <c r="W10" s="4">
        <v>0</v>
      </c>
      <c r="X10" s="4"/>
      <c r="Y10" s="4">
        <v>8000</v>
      </c>
      <c r="Z10" s="4"/>
      <c r="AA10" s="261">
        <v>690170</v>
      </c>
      <c r="AB10" s="4"/>
      <c r="AC10" s="4">
        <v>4953173588</v>
      </c>
      <c r="AD10" s="4"/>
      <c r="AE10" s="4">
        <v>5520359254</v>
      </c>
      <c r="AG10" s="8">
        <f>AE10/درآمدها!$J$5</f>
        <v>5.5174976512936361E-2</v>
      </c>
      <c r="AH10" s="180"/>
      <c r="AI10" s="181"/>
      <c r="AJ10" s="179"/>
      <c r="AK10" s="179"/>
    </row>
    <row r="11" spans="1:37" s="159" customFormat="1" ht="55.5" customHeight="1" thickBot="1">
      <c r="A11" s="160" t="s">
        <v>114</v>
      </c>
      <c r="B11" s="188"/>
      <c r="C11" s="161" t="s">
        <v>109</v>
      </c>
      <c r="D11" s="143"/>
      <c r="E11" s="161" t="s">
        <v>109</v>
      </c>
      <c r="F11" s="143"/>
      <c r="G11" s="161" t="s">
        <v>116</v>
      </c>
      <c r="H11" s="143"/>
      <c r="I11" s="161" t="s">
        <v>118</v>
      </c>
      <c r="J11" s="161"/>
      <c r="K11" s="162">
        <v>1000000</v>
      </c>
      <c r="L11" s="189"/>
      <c r="M11" s="4">
        <v>12300</v>
      </c>
      <c r="N11" s="148"/>
      <c r="O11" s="4">
        <v>6747608781</v>
      </c>
      <c r="P11" s="4"/>
      <c r="Q11" s="4">
        <v>7263309289</v>
      </c>
      <c r="R11" s="4"/>
      <c r="S11" s="4">
        <v>0</v>
      </c>
      <c r="T11" s="4">
        <v>0</v>
      </c>
      <c r="U11" s="4"/>
      <c r="V11" s="4">
        <v>1010</v>
      </c>
      <c r="W11" s="4">
        <v>601850896</v>
      </c>
      <c r="X11" s="4"/>
      <c r="Y11" s="4">
        <v>11290</v>
      </c>
      <c r="Z11" s="4"/>
      <c r="AA11" s="261">
        <v>598840</v>
      </c>
      <c r="AB11" s="4"/>
      <c r="AC11" s="4">
        <v>6193536840</v>
      </c>
      <c r="AD11" s="4"/>
      <c r="AE11" s="4">
        <v>6759678188</v>
      </c>
      <c r="AG11" s="8">
        <f>AE11/درآمدها!$J$5</f>
        <v>6.7561741563768929E-2</v>
      </c>
      <c r="AH11" s="180"/>
      <c r="AI11" s="181"/>
      <c r="AJ11" s="179"/>
      <c r="AK11" s="179"/>
    </row>
    <row r="12" spans="1:37" s="164" customFormat="1" ht="32.25" thickBot="1">
      <c r="A12" s="144" t="s">
        <v>2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4"/>
      <c r="N12" s="154"/>
      <c r="O12" s="262">
        <f>SUM(O9:O11)</f>
        <v>21017039979</v>
      </c>
      <c r="P12" s="154"/>
      <c r="Q12" s="262">
        <f>SUM(Q9:Q11)</f>
        <v>22908296525</v>
      </c>
      <c r="R12" s="154"/>
      <c r="S12" s="263"/>
      <c r="T12" s="262">
        <f>SUM(T9:T11)</f>
        <v>0</v>
      </c>
      <c r="U12" s="154"/>
      <c r="V12" s="263"/>
      <c r="W12" s="262">
        <f>SUM(W9:W11)</f>
        <v>902116464</v>
      </c>
      <c r="X12" s="154"/>
      <c r="Y12" s="263"/>
      <c r="Z12" s="154"/>
      <c r="AA12" s="154"/>
      <c r="AB12" s="154"/>
      <c r="AC12" s="262">
        <f>SUM(AC9:AC11)</f>
        <v>20193322376</v>
      </c>
      <c r="AD12" s="154"/>
      <c r="AE12" s="262">
        <f>SUM(AE9:AE11)</f>
        <v>22388162015</v>
      </c>
      <c r="AF12" s="154"/>
      <c r="AG12" s="163">
        <f>SUM(AG9:AG11)</f>
        <v>0.223765566063545</v>
      </c>
      <c r="AH12" s="182"/>
      <c r="AI12" s="182"/>
      <c r="AJ12" s="182"/>
      <c r="AK12" s="182"/>
    </row>
    <row r="13" spans="1:37" s="165" customFormat="1" ht="32.25" thickTop="1">
      <c r="M13" s="154"/>
      <c r="N13" s="154"/>
      <c r="P13" s="154"/>
      <c r="R13" s="154"/>
      <c r="S13" s="154"/>
      <c r="U13" s="154"/>
      <c r="V13" s="154"/>
      <c r="X13" s="154"/>
      <c r="Y13" s="154"/>
      <c r="Z13" s="154"/>
      <c r="AA13" s="154"/>
      <c r="AB13" s="154"/>
      <c r="AD13" s="154"/>
      <c r="AF13" s="154"/>
      <c r="AH13" s="178"/>
      <c r="AI13" s="178"/>
      <c r="AJ13" s="178"/>
      <c r="AK13" s="178"/>
    </row>
    <row r="14" spans="1:37" s="4" customFormat="1" ht="30.75">
      <c r="W14" s="150"/>
      <c r="AC14" s="150"/>
      <c r="AE14" s="150"/>
      <c r="AH14" s="181"/>
      <c r="AI14" s="181"/>
      <c r="AJ14" s="181"/>
      <c r="AK14" s="181"/>
    </row>
    <row r="15" spans="1:37" s="4" customFormat="1" ht="30.75"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G15" s="8"/>
      <c r="AH15" s="181"/>
      <c r="AI15" s="181"/>
      <c r="AJ15" s="181"/>
      <c r="AK15" s="181"/>
    </row>
    <row r="16" spans="1:37" s="4" customFormat="1" ht="30.75"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G16" s="8"/>
      <c r="AH16" s="181"/>
      <c r="AI16" s="181"/>
      <c r="AJ16" s="181"/>
      <c r="AK16" s="181"/>
    </row>
    <row r="17" spans="29:37" s="4" customFormat="1" ht="30.75">
      <c r="AC17" s="8"/>
      <c r="AG17" s="8"/>
      <c r="AH17" s="181"/>
      <c r="AI17" s="181"/>
      <c r="AJ17" s="181"/>
      <c r="AK17" s="181"/>
    </row>
    <row r="18" spans="29:37" s="4" customFormat="1" ht="30.75">
      <c r="AC18" s="166"/>
      <c r="AG18" s="10"/>
      <c r="AH18" s="181"/>
      <c r="AI18" s="181"/>
      <c r="AJ18" s="181"/>
      <c r="AK18" s="181"/>
    </row>
    <row r="19" spans="29:37" s="4" customFormat="1" ht="30.75">
      <c r="AH19" s="181"/>
      <c r="AI19" s="181"/>
      <c r="AJ19" s="181"/>
      <c r="AK19" s="181"/>
    </row>
    <row r="20" spans="29:37" s="4" customFormat="1" ht="30.75">
      <c r="AH20" s="181"/>
      <c r="AI20" s="181"/>
      <c r="AJ20" s="181"/>
      <c r="AK20" s="181"/>
    </row>
    <row r="21" spans="29:37" s="4" customFormat="1" ht="30.75">
      <c r="AH21" s="181"/>
      <c r="AI21" s="181"/>
      <c r="AJ21" s="181"/>
      <c r="AK21" s="181"/>
    </row>
    <row r="22" spans="29:37" s="4" customFormat="1" ht="30.75">
      <c r="AH22" s="181"/>
      <c r="AI22" s="181"/>
      <c r="AJ22" s="181"/>
      <c r="AK22" s="181"/>
    </row>
    <row r="23" spans="29:37" s="4" customFormat="1" ht="30.75">
      <c r="AH23" s="181"/>
      <c r="AI23" s="181"/>
      <c r="AJ23" s="181"/>
      <c r="AK23" s="181"/>
    </row>
    <row r="24" spans="29:37" s="4" customFormat="1" ht="30.75">
      <c r="AH24" s="181"/>
      <c r="AI24" s="181"/>
      <c r="AJ24" s="181"/>
      <c r="AK24" s="181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C881-7777-464D-8E69-C2FA3CF54237}">
  <sheetPr>
    <pageSetUpPr fitToPage="1"/>
  </sheetPr>
  <dimension ref="A1:O15"/>
  <sheetViews>
    <sheetView rightToLeft="1" view="pageBreakPreview" zoomScaleNormal="100" zoomScaleSheetLayoutView="100" workbookViewId="0">
      <selection activeCell="K16" sqref="K16"/>
    </sheetView>
  </sheetViews>
  <sheetFormatPr defaultColWidth="9.140625" defaultRowHeight="22.5"/>
  <cols>
    <col min="1" max="1" width="37.28515625" customWidth="1"/>
    <col min="2" max="2" width="1" customWidth="1"/>
    <col min="3" max="3" width="17.85546875" customWidth="1"/>
    <col min="4" max="4" width="1.140625" customWidth="1"/>
    <col min="5" max="5" width="13.5703125" customWidth="1"/>
    <col min="6" max="6" width="1.140625" customWidth="1"/>
    <col min="7" max="7" width="13.5703125" bestFit="1" customWidth="1"/>
    <col min="8" max="8" width="1.140625" customWidth="1"/>
    <col min="9" max="9" width="10.5703125" bestFit="1" customWidth="1"/>
    <col min="10" max="10" width="0.85546875" customWidth="1"/>
    <col min="11" max="11" width="28.140625" customWidth="1"/>
    <col min="12" max="12" width="1.85546875" customWidth="1"/>
    <col min="13" max="13" width="86.7109375" customWidth="1"/>
    <col min="14" max="14" width="20.42578125" style="97" bestFit="1" customWidth="1"/>
    <col min="15" max="15" width="22.28515625" style="110" customWidth="1"/>
  </cols>
  <sheetData>
    <row r="1" spans="1:15" s="99" customFormat="1" ht="26.25">
      <c r="A1" s="221" t="s">
        <v>87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97"/>
      <c r="O1" s="98"/>
    </row>
    <row r="2" spans="1:15" s="99" customFormat="1" ht="23.25" customHeight="1">
      <c r="A2" s="221" t="s">
        <v>46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97"/>
      <c r="O2" s="98"/>
    </row>
    <row r="3" spans="1:15" s="99" customFormat="1" ht="24" customHeight="1">
      <c r="A3" s="221" t="str">
        <f>' سهام'!A3:W3</f>
        <v>برای ماه منتهی به 1403/04/31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97"/>
      <c r="O3" s="98"/>
    </row>
    <row r="5" spans="1:15" s="100" customFormat="1">
      <c r="A5" s="222" t="s">
        <v>130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97"/>
      <c r="O5" s="98"/>
    </row>
    <row r="6" spans="1:15" s="100" customFormat="1">
      <c r="A6" s="222" t="s">
        <v>131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97"/>
      <c r="O6" s="98"/>
    </row>
    <row r="7" spans="1:15" s="100" customFormat="1" ht="27" customHeight="1">
      <c r="N7" s="97"/>
      <c r="O7" s="98"/>
    </row>
    <row r="8" spans="1:15" s="100" customFormat="1">
      <c r="C8" s="219" t="str">
        <f>اوراق!Y6</f>
        <v>1403/04/31</v>
      </c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97"/>
      <c r="O8" s="98"/>
    </row>
    <row r="9" spans="1:15" s="100" customFormat="1" ht="42">
      <c r="A9" s="101" t="s">
        <v>132</v>
      </c>
      <c r="C9" s="101" t="s">
        <v>133</v>
      </c>
      <c r="E9" s="102" t="s">
        <v>134</v>
      </c>
      <c r="G9" s="101" t="s">
        <v>135</v>
      </c>
      <c r="I9" s="101" t="s">
        <v>136</v>
      </c>
      <c r="K9" s="102" t="s">
        <v>137</v>
      </c>
      <c r="M9" s="101" t="s">
        <v>138</v>
      </c>
      <c r="N9" s="97"/>
      <c r="O9" s="103"/>
    </row>
    <row r="10" spans="1:15" ht="36.75" customHeight="1">
      <c r="A10" s="16"/>
      <c r="B10" s="104"/>
      <c r="C10" s="105"/>
      <c r="D10" s="106"/>
      <c r="E10" s="118"/>
      <c r="F10" s="107"/>
      <c r="G10" s="107"/>
      <c r="H10" s="104"/>
      <c r="I10" s="117"/>
      <c r="J10" s="104"/>
      <c r="K10" s="107">
        <f>IFERROR(VLOOKUP(A10,' سهام'!$A$10:$U$29,21,0),0)</f>
        <v>0</v>
      </c>
      <c r="L10" s="108"/>
      <c r="M10" s="114"/>
      <c r="N10" s="109"/>
    </row>
    <row r="11" spans="1:15" ht="23.25" thickBot="1">
      <c r="A11" s="111"/>
      <c r="B11" s="104"/>
      <c r="C11" s="112"/>
      <c r="D11" s="111"/>
      <c r="E11" s="113"/>
      <c r="F11" s="111"/>
      <c r="G11" s="113"/>
      <c r="H11" s="104"/>
      <c r="I11" s="104"/>
      <c r="J11" s="104"/>
      <c r="K11" s="113">
        <f>SUM(K10)</f>
        <v>0</v>
      </c>
      <c r="L11" s="104"/>
      <c r="M11" s="104"/>
    </row>
    <row r="12" spans="1:15" ht="23.25" thickTop="1"/>
    <row r="13" spans="1:15">
      <c r="C13" s="112"/>
      <c r="K13" s="112"/>
    </row>
    <row r="14" spans="1:15">
      <c r="C14" s="96"/>
    </row>
    <row r="15" spans="1:15">
      <c r="C15" s="112"/>
    </row>
  </sheetData>
  <autoFilter ref="A9:M9" xr:uid="{00000000-0009-0000-0000-000004000000}">
    <sortState xmlns:xlrd2="http://schemas.microsoft.com/office/spreadsheetml/2017/richdata2" ref="A10:P16">
      <sortCondition descending="1" ref="K9"/>
    </sortState>
  </autoFilter>
  <mergeCells count="6">
    <mergeCell ref="C8:M8"/>
    <mergeCell ref="A1:M1"/>
    <mergeCell ref="A2:M2"/>
    <mergeCell ref="A3:M3"/>
    <mergeCell ref="A5:M5"/>
    <mergeCell ref="A6:M6"/>
  </mergeCells>
  <printOptions horizontalCentered="1"/>
  <pageMargins left="0" right="0.28999999999999998" top="0.52" bottom="0" header="0.75" footer="0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29"/>
  <sheetViews>
    <sheetView rightToLeft="1" view="pageBreakPreview" zoomScaleNormal="100" zoomScaleSheetLayoutView="100" workbookViewId="0">
      <selection activeCell="G18" sqref="G18"/>
    </sheetView>
  </sheetViews>
  <sheetFormatPr defaultColWidth="9.140625" defaultRowHeight="15"/>
  <cols>
    <col min="1" max="1" width="39.140625" style="167" bestFit="1" customWidth="1"/>
    <col min="2" max="2" width="0.7109375" style="167" customWidth="1"/>
    <col min="3" max="3" width="21.28515625" style="15" customWidth="1"/>
    <col min="4" max="4" width="0.7109375" style="167" customWidth="1"/>
    <col min="5" max="5" width="22.28515625" style="167" customWidth="1"/>
    <col min="6" max="6" width="0.42578125" style="167" customWidth="1"/>
    <col min="7" max="7" width="22.140625" style="167" customWidth="1"/>
    <col min="8" max="8" width="0.42578125" style="167" customWidth="1"/>
    <col min="9" max="9" width="18.42578125" style="167" customWidth="1"/>
    <col min="10" max="10" width="0.5703125" style="167" customWidth="1"/>
    <col min="11" max="11" width="12.140625" style="167" customWidth="1"/>
    <col min="12" max="16384" width="9.140625" style="167"/>
  </cols>
  <sheetData>
    <row r="1" spans="1:19" ht="18.75">
      <c r="A1" s="227" t="s">
        <v>87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9" ht="18.75">
      <c r="A2" s="227" t="s">
        <v>46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9" ht="18.75">
      <c r="A3" s="227" t="str">
        <f>' سهام'!A3:W3</f>
        <v>برای ماه منتهی به 1403/04/31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</row>
    <row r="4" spans="1:19" ht="18.75">
      <c r="A4" s="230" t="s">
        <v>47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9" ht="18.75" thickBot="1">
      <c r="A5" s="168"/>
      <c r="B5" s="168"/>
      <c r="C5" s="11"/>
      <c r="D5" s="169"/>
      <c r="E5" s="169"/>
      <c r="F5" s="169"/>
      <c r="G5" s="169"/>
      <c r="H5" s="169"/>
      <c r="I5" s="169"/>
      <c r="J5" s="169"/>
      <c r="K5" s="169"/>
    </row>
    <row r="6" spans="1:19" ht="18.75" customHeight="1" thickBot="1">
      <c r="A6" s="170"/>
      <c r="B6" s="168"/>
      <c r="C6" s="190" t="str">
        <f>اوراق!M6</f>
        <v>1403/03/31</v>
      </c>
      <c r="D6" s="171"/>
      <c r="E6" s="226" t="s">
        <v>7</v>
      </c>
      <c r="F6" s="226"/>
      <c r="G6" s="226"/>
      <c r="H6" s="168"/>
      <c r="I6" s="231" t="str">
        <f>اوراق!Y6</f>
        <v>1403/04/31</v>
      </c>
      <c r="J6" s="232"/>
      <c r="K6" s="232"/>
    </row>
    <row r="7" spans="1:19" ht="24" customHeight="1">
      <c r="A7" s="235" t="s">
        <v>8</v>
      </c>
      <c r="B7" s="172"/>
      <c r="C7" s="237" t="s">
        <v>6</v>
      </c>
      <c r="D7" s="172"/>
      <c r="E7" s="224" t="s">
        <v>31</v>
      </c>
      <c r="F7" s="173"/>
      <c r="G7" s="224" t="s">
        <v>32</v>
      </c>
      <c r="H7" s="168"/>
      <c r="I7" s="233" t="s">
        <v>6</v>
      </c>
      <c r="J7" s="235"/>
      <c r="K7" s="228" t="s">
        <v>19</v>
      </c>
    </row>
    <row r="8" spans="1:19" ht="18.75" thickBot="1">
      <c r="A8" s="236"/>
      <c r="B8" s="172"/>
      <c r="C8" s="238"/>
      <c r="D8" s="172"/>
      <c r="E8" s="225"/>
      <c r="F8" s="168"/>
      <c r="G8" s="225"/>
      <c r="H8" s="168"/>
      <c r="I8" s="234"/>
      <c r="J8" s="235"/>
      <c r="K8" s="229"/>
    </row>
    <row r="9" spans="1:19" s="168" customFormat="1" ht="18">
      <c r="A9" s="174" t="s">
        <v>96</v>
      </c>
      <c r="C9" s="12">
        <v>1525923</v>
      </c>
      <c r="D9" s="12"/>
      <c r="E9" s="12">
        <v>5815766</v>
      </c>
      <c r="F9" s="12"/>
      <c r="G9" s="12">
        <v>0</v>
      </c>
      <c r="H9" s="12"/>
      <c r="I9" s="12">
        <v>7341689</v>
      </c>
      <c r="K9" s="13">
        <f>I9/درآمدها!$J$5</f>
        <v>7.3378832699478382E-5</v>
      </c>
      <c r="L9" s="150"/>
      <c r="M9" s="175"/>
      <c r="N9" s="150"/>
      <c r="O9" s="175"/>
      <c r="P9" s="150"/>
      <c r="Q9" s="175"/>
      <c r="R9" s="150"/>
      <c r="S9" s="175"/>
    </row>
    <row r="10" spans="1:19" s="168" customFormat="1" ht="18">
      <c r="A10" s="174" t="s">
        <v>153</v>
      </c>
      <c r="C10" s="12">
        <v>293539202</v>
      </c>
      <c r="D10" s="12"/>
      <c r="E10" s="12">
        <v>4379908835</v>
      </c>
      <c r="F10" s="12"/>
      <c r="G10" s="12">
        <v>4470309581</v>
      </c>
      <c r="H10" s="12"/>
      <c r="I10" s="12">
        <v>203138456</v>
      </c>
      <c r="K10" s="13">
        <f>I10/درآمدها!$J$5</f>
        <v>2.0303315460045161E-3</v>
      </c>
      <c r="L10" s="150"/>
      <c r="M10" s="175"/>
      <c r="N10" s="150"/>
      <c r="O10" s="175"/>
      <c r="P10" s="150"/>
      <c r="Q10" s="175"/>
      <c r="R10" s="150"/>
      <c r="S10" s="175"/>
    </row>
    <row r="11" spans="1:19" s="168" customFormat="1" ht="18.75" thickBot="1">
      <c r="A11" s="174" t="s">
        <v>142</v>
      </c>
      <c r="C11" s="12">
        <v>240000000</v>
      </c>
      <c r="D11" s="12"/>
      <c r="E11" s="12">
        <v>0</v>
      </c>
      <c r="F11" s="12"/>
      <c r="G11" s="12">
        <v>0</v>
      </c>
      <c r="H11" s="12"/>
      <c r="I11" s="12">
        <v>240000000</v>
      </c>
      <c r="K11" s="13">
        <f>I11/درآمدها!$J$5</f>
        <v>2.3987559058787169E-3</v>
      </c>
      <c r="L11" s="150"/>
      <c r="M11" s="175"/>
      <c r="N11" s="150"/>
      <c r="O11" s="175"/>
      <c r="P11" s="150"/>
      <c r="Q11" s="175"/>
      <c r="S11" s="175"/>
    </row>
    <row r="12" spans="1:19" s="168" customFormat="1" ht="24" customHeight="1" thickBot="1">
      <c r="A12" s="172" t="s">
        <v>2</v>
      </c>
      <c r="B12" s="172"/>
      <c r="C12" s="264">
        <f>SUM(C9:C11)</f>
        <v>535065125</v>
      </c>
      <c r="E12" s="265">
        <f>SUM(E9:E11)</f>
        <v>4385724601</v>
      </c>
      <c r="G12" s="265">
        <f>SUM(G9:G11)</f>
        <v>4470309581</v>
      </c>
      <c r="I12" s="265">
        <f>SUM(I9:I11)</f>
        <v>450480145</v>
      </c>
      <c r="K12" s="14">
        <f>SUM(K9:K11)</f>
        <v>4.5024662845827117E-3</v>
      </c>
    </row>
    <row r="13" spans="1:19" ht="18.75" thickTop="1">
      <c r="D13" s="168"/>
      <c r="F13" s="168"/>
      <c r="H13" s="168"/>
      <c r="J13" s="168"/>
    </row>
    <row r="14" spans="1:19" ht="18">
      <c r="D14" s="168"/>
      <c r="F14" s="168"/>
      <c r="H14" s="168"/>
      <c r="J14" s="168"/>
    </row>
    <row r="15" spans="1:19" ht="18">
      <c r="C15" s="174"/>
      <c r="D15" s="174"/>
      <c r="E15" s="174"/>
      <c r="F15" s="174"/>
      <c r="G15" s="174"/>
      <c r="H15" s="174"/>
      <c r="I15" s="174"/>
      <c r="J15" s="174"/>
      <c r="K15" s="174"/>
      <c r="L15" s="174"/>
    </row>
    <row r="16" spans="1:19" ht="18">
      <c r="C16" s="150"/>
      <c r="D16" s="176"/>
      <c r="E16" s="176"/>
      <c r="F16" s="176"/>
      <c r="G16" s="176"/>
      <c r="H16" s="176"/>
      <c r="I16" s="176"/>
      <c r="J16" s="174"/>
      <c r="K16" s="174"/>
      <c r="L16" s="174"/>
    </row>
    <row r="17" spans="3:12" ht="18">
      <c r="C17" s="176"/>
      <c r="D17" s="174"/>
      <c r="E17" s="176"/>
      <c r="F17" s="174"/>
      <c r="G17" s="176"/>
      <c r="H17" s="174"/>
      <c r="I17" s="176"/>
      <c r="J17" s="174"/>
      <c r="K17" s="174"/>
      <c r="L17" s="174"/>
    </row>
    <row r="18" spans="3:12" ht="18">
      <c r="C18" s="150"/>
      <c r="D18" s="176"/>
      <c r="E18" s="176"/>
      <c r="F18" s="176"/>
      <c r="G18" s="176"/>
      <c r="H18" s="176"/>
      <c r="I18" s="176"/>
      <c r="J18" s="174"/>
      <c r="K18" s="174"/>
      <c r="L18" s="174"/>
    </row>
    <row r="19" spans="3:12" ht="18">
      <c r="C19" s="176"/>
      <c r="D19" s="176"/>
      <c r="E19" s="176"/>
      <c r="F19" s="176"/>
      <c r="G19" s="176"/>
      <c r="H19" s="176"/>
      <c r="I19" s="176"/>
      <c r="J19" s="174"/>
      <c r="K19" s="174"/>
      <c r="L19" s="174"/>
    </row>
    <row r="20" spans="3:12" ht="18">
      <c r="C20" s="176"/>
      <c r="D20" s="176"/>
      <c r="E20" s="176"/>
      <c r="F20" s="176"/>
      <c r="G20" s="176"/>
      <c r="H20" s="176"/>
      <c r="I20" s="176"/>
      <c r="J20" s="174"/>
      <c r="K20" s="174"/>
      <c r="L20" s="174"/>
    </row>
    <row r="21" spans="3:12" ht="18">
      <c r="C21" s="176"/>
      <c r="D21" s="176"/>
      <c r="E21" s="176"/>
      <c r="F21" s="176"/>
      <c r="G21" s="176"/>
      <c r="H21" s="176"/>
      <c r="I21" s="176"/>
      <c r="J21" s="174"/>
      <c r="K21" s="174"/>
      <c r="L21" s="174"/>
    </row>
    <row r="22" spans="3:12" ht="18">
      <c r="C22" s="176"/>
      <c r="D22" s="176"/>
      <c r="E22" s="176"/>
      <c r="F22" s="176"/>
      <c r="G22" s="176"/>
      <c r="H22" s="176"/>
      <c r="I22" s="176"/>
      <c r="J22" s="174"/>
      <c r="K22" s="174"/>
      <c r="L22" s="174"/>
    </row>
    <row r="23" spans="3:12" ht="18">
      <c r="C23" s="176"/>
      <c r="D23" s="176"/>
      <c r="E23" s="176"/>
      <c r="F23" s="176"/>
      <c r="G23" s="176"/>
      <c r="H23" s="176"/>
      <c r="I23" s="176"/>
      <c r="J23" s="174"/>
      <c r="K23" s="174"/>
      <c r="L23" s="174"/>
    </row>
    <row r="24" spans="3:12" ht="18">
      <c r="C24" s="176"/>
      <c r="D24" s="176"/>
      <c r="E24" s="176"/>
      <c r="F24" s="176"/>
      <c r="G24" s="176"/>
      <c r="H24" s="176"/>
      <c r="I24" s="176"/>
      <c r="J24" s="174"/>
      <c r="K24" s="174"/>
      <c r="L24" s="174"/>
    </row>
    <row r="25" spans="3:12" ht="18">
      <c r="C25" s="176"/>
      <c r="D25" s="176"/>
      <c r="E25" s="176"/>
      <c r="F25" s="176"/>
      <c r="G25" s="176"/>
      <c r="H25" s="176"/>
      <c r="I25" s="176"/>
      <c r="J25" s="174"/>
      <c r="K25" s="174"/>
      <c r="L25" s="174"/>
    </row>
    <row r="26" spans="3:12" ht="18">
      <c r="C26" s="176"/>
      <c r="D26" s="176"/>
      <c r="E26" s="176"/>
      <c r="F26" s="176"/>
      <c r="G26" s="176"/>
      <c r="H26" s="176"/>
      <c r="I26" s="176"/>
      <c r="J26" s="174"/>
      <c r="K26" s="174"/>
      <c r="L26" s="174"/>
    </row>
    <row r="27" spans="3:12" ht="18">
      <c r="C27" s="174"/>
      <c r="D27" s="174"/>
      <c r="E27" s="174"/>
      <c r="F27" s="174"/>
      <c r="G27" s="174"/>
      <c r="H27" s="174"/>
      <c r="I27" s="174"/>
      <c r="J27" s="174"/>
      <c r="K27" s="174"/>
      <c r="L27" s="174"/>
    </row>
    <row r="28" spans="3:12" ht="18">
      <c r="C28" s="174"/>
      <c r="D28" s="174"/>
      <c r="E28" s="174"/>
      <c r="F28" s="174"/>
      <c r="G28" s="174"/>
      <c r="H28" s="174"/>
      <c r="I28" s="174"/>
      <c r="J28" s="174"/>
      <c r="K28" s="174"/>
      <c r="L28" s="174"/>
    </row>
    <row r="29" spans="3:12" ht="18">
      <c r="C29" s="174"/>
      <c r="D29" s="174"/>
      <c r="E29" s="174"/>
      <c r="F29" s="174"/>
      <c r="G29" s="174"/>
      <c r="H29" s="174"/>
      <c r="I29" s="174"/>
      <c r="J29" s="174"/>
      <c r="K29" s="174"/>
      <c r="L29" s="174"/>
    </row>
  </sheetData>
  <autoFilter ref="A8:K8" xr:uid="{00000000-0009-0000-0000-000003000000}">
    <sortState xmlns:xlrd2="http://schemas.microsoft.com/office/spreadsheetml/2017/richdata2" ref="A10:K11">
      <sortCondition descending="1" ref="I8"/>
    </sortState>
  </autoFilter>
  <mergeCells count="13">
    <mergeCell ref="G7:G8"/>
    <mergeCell ref="E6:G6"/>
    <mergeCell ref="A1:K1"/>
    <mergeCell ref="A2:K2"/>
    <mergeCell ref="A3:K3"/>
    <mergeCell ref="K7:K8"/>
    <mergeCell ref="A4:K4"/>
    <mergeCell ref="I6:K6"/>
    <mergeCell ref="I7:I8"/>
    <mergeCell ref="J7:J8"/>
    <mergeCell ref="A7:A8"/>
    <mergeCell ref="C7:C8"/>
    <mergeCell ref="E7:E8"/>
  </mergeCells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  <pageSetUpPr fitToPage="1"/>
  </sheetPr>
  <dimension ref="A1:N38"/>
  <sheetViews>
    <sheetView rightToLeft="1" view="pageBreakPreview" zoomScaleNormal="100" zoomScaleSheetLayoutView="100" workbookViewId="0">
      <selection activeCell="C21" sqref="C21"/>
    </sheetView>
  </sheetViews>
  <sheetFormatPr defaultColWidth="9.140625" defaultRowHeight="18"/>
  <cols>
    <col min="1" max="1" width="65.7109375" style="91" customWidth="1"/>
    <col min="2" max="2" width="1" style="91" customWidth="1"/>
    <col min="3" max="3" width="9.140625" style="17"/>
    <col min="4" max="4" width="1.140625" style="17" customWidth="1"/>
    <col min="5" max="5" width="25.42578125" style="17" bestFit="1" customWidth="1"/>
    <col min="6" max="6" width="1" style="17" customWidth="1"/>
    <col min="7" max="7" width="19.7109375" style="17" customWidth="1"/>
    <col min="8" max="8" width="0.42578125" style="17" customWidth="1"/>
    <col min="9" max="9" width="24.5703125" style="17" customWidth="1"/>
    <col min="10" max="10" width="23.42578125" style="92" bestFit="1" customWidth="1"/>
    <col min="11" max="11" width="17.7109375" style="92" bestFit="1" customWidth="1"/>
    <col min="12" max="12" width="14.28515625" style="17" bestFit="1" customWidth="1"/>
    <col min="13" max="13" width="12.5703125" style="17" bestFit="1" customWidth="1"/>
    <col min="14" max="14" width="9.5703125" style="17" bestFit="1" customWidth="1"/>
    <col min="15" max="16384" width="9.140625" style="17"/>
  </cols>
  <sheetData>
    <row r="1" spans="1:14" ht="21">
      <c r="A1" s="240" t="s">
        <v>87</v>
      </c>
      <c r="B1" s="240"/>
      <c r="C1" s="240"/>
      <c r="D1" s="240"/>
      <c r="E1" s="240"/>
      <c r="F1" s="240"/>
      <c r="G1" s="240"/>
      <c r="H1" s="240"/>
      <c r="I1" s="240"/>
      <c r="J1" s="79"/>
      <c r="K1" s="79"/>
    </row>
    <row r="2" spans="1:14" ht="21">
      <c r="A2" s="240" t="s">
        <v>46</v>
      </c>
      <c r="B2" s="240"/>
      <c r="C2" s="240"/>
      <c r="D2" s="240"/>
      <c r="E2" s="240"/>
      <c r="F2" s="240"/>
      <c r="G2" s="240"/>
      <c r="H2" s="240"/>
      <c r="I2" s="240"/>
      <c r="J2" s="79"/>
      <c r="K2" s="79"/>
    </row>
    <row r="3" spans="1:14" ht="21.75" thickBot="1">
      <c r="A3" s="240" t="str">
        <f>سپرده!A3</f>
        <v>برای ماه منتهی به 1403/04/31</v>
      </c>
      <c r="B3" s="240"/>
      <c r="C3" s="240"/>
      <c r="D3" s="240"/>
      <c r="E3" s="240"/>
      <c r="F3" s="240"/>
      <c r="G3" s="240"/>
      <c r="H3" s="240"/>
      <c r="I3" s="240"/>
      <c r="J3" s="79"/>
      <c r="K3" s="79"/>
    </row>
    <row r="4" spans="1:14" ht="21.75" thickBot="1">
      <c r="A4" s="80" t="s">
        <v>24</v>
      </c>
      <c r="B4" s="81"/>
      <c r="C4" s="81"/>
      <c r="D4" s="81"/>
      <c r="E4" s="81"/>
      <c r="F4" s="81"/>
      <c r="G4" s="81"/>
      <c r="H4" s="81"/>
      <c r="I4" s="81"/>
      <c r="J4" s="82">
        <v>20797854329</v>
      </c>
      <c r="K4" s="83" t="s">
        <v>85</v>
      </c>
    </row>
    <row r="5" spans="1:14" ht="21.75" customHeight="1" thickBot="1">
      <c r="A5" s="80"/>
      <c r="B5" s="80"/>
      <c r="C5" s="80"/>
      <c r="D5" s="80"/>
      <c r="E5" s="239" t="str">
        <f>اوراق!Y6</f>
        <v>1403/04/31</v>
      </c>
      <c r="F5" s="239"/>
      <c r="G5" s="239"/>
      <c r="H5" s="239"/>
      <c r="I5" s="239"/>
      <c r="J5" s="82">
        <v>100051864140</v>
      </c>
      <c r="K5" s="83" t="s">
        <v>84</v>
      </c>
    </row>
    <row r="6" spans="1:14" ht="21.75" customHeight="1" thickBot="1">
      <c r="A6" s="84" t="s">
        <v>33</v>
      </c>
      <c r="B6" s="85"/>
      <c r="C6" s="59" t="s">
        <v>34</v>
      </c>
      <c r="D6" s="86"/>
      <c r="E6" s="59" t="s">
        <v>6</v>
      </c>
      <c r="F6" s="86"/>
      <c r="G6" s="59" t="s">
        <v>16</v>
      </c>
      <c r="H6" s="86"/>
      <c r="I6" s="59" t="s">
        <v>83</v>
      </c>
      <c r="J6" s="87"/>
      <c r="K6" s="87"/>
    </row>
    <row r="7" spans="1:14" ht="21" customHeight="1">
      <c r="A7" s="60" t="s">
        <v>97</v>
      </c>
      <c r="B7" s="60"/>
      <c r="C7" s="88" t="s">
        <v>48</v>
      </c>
      <c r="D7" s="81"/>
      <c r="E7" s="138">
        <f>'درآمد سرمایه گذاری در سهام '!S39</f>
        <v>15861103108</v>
      </c>
      <c r="F7" s="94"/>
      <c r="G7" s="139">
        <f>E7/$E$11</f>
        <v>0.93893178262479571</v>
      </c>
      <c r="H7" s="93"/>
      <c r="I7" s="139">
        <f>E7/$J$5</f>
        <v>0.15852881147527612</v>
      </c>
      <c r="J7" s="87"/>
      <c r="K7" s="87"/>
    </row>
    <row r="8" spans="1:14" ht="18.75" customHeight="1">
      <c r="A8" s="60" t="s">
        <v>43</v>
      </c>
      <c r="B8" s="60"/>
      <c r="C8" s="88" t="s">
        <v>49</v>
      </c>
      <c r="D8" s="81"/>
      <c r="E8" s="138">
        <f>'درآمد سرمایه گذاری در اوراق بها'!O15</f>
        <v>690615468</v>
      </c>
      <c r="F8" s="94"/>
      <c r="G8" s="139">
        <f t="shared" ref="G8:G10" si="0">E8/$E$11</f>
        <v>4.0882453639081252E-2</v>
      </c>
      <c r="H8" s="93"/>
      <c r="I8" s="139">
        <f t="shared" ref="I8:I10" si="1">E8/$J$5</f>
        <v>6.9025747189841412E-3</v>
      </c>
      <c r="J8" s="87"/>
      <c r="K8" s="87"/>
      <c r="L8" s="87"/>
      <c r="N8" s="89"/>
    </row>
    <row r="9" spans="1:14" ht="18.75" customHeight="1">
      <c r="A9" s="60" t="s">
        <v>44</v>
      </c>
      <c r="B9" s="60"/>
      <c r="C9" s="88" t="s">
        <v>50</v>
      </c>
      <c r="D9" s="81"/>
      <c r="E9" s="138">
        <f>'درآمد سپرده بانکی'!G11</f>
        <v>306064382</v>
      </c>
      <c r="F9" s="94"/>
      <c r="G9" s="139">
        <f t="shared" si="0"/>
        <v>1.8118133009568001E-2</v>
      </c>
      <c r="H9" s="93"/>
      <c r="I9" s="139">
        <f t="shared" si="1"/>
        <v>3.0590572662567484E-3</v>
      </c>
      <c r="J9" s="87"/>
      <c r="K9" s="87"/>
      <c r="N9" s="89"/>
    </row>
    <row r="10" spans="1:14" ht="19.5" customHeight="1" thickBot="1">
      <c r="A10" s="60" t="s">
        <v>29</v>
      </c>
      <c r="B10" s="60"/>
      <c r="C10" s="88" t="s">
        <v>51</v>
      </c>
      <c r="D10" s="81"/>
      <c r="E10" s="138">
        <f>'سایر درآمدها'!E11</f>
        <v>34927888</v>
      </c>
      <c r="F10" s="94"/>
      <c r="G10" s="139">
        <f t="shared" si="0"/>
        <v>2.0676307265550882E-3</v>
      </c>
      <c r="H10" s="93"/>
      <c r="I10" s="139">
        <f t="shared" si="1"/>
        <v>3.490978234161265E-4</v>
      </c>
      <c r="J10" s="87"/>
      <c r="K10" s="87"/>
      <c r="N10" s="89"/>
    </row>
    <row r="11" spans="1:14" ht="19.5" customHeight="1" thickBot="1">
      <c r="A11" s="60" t="s">
        <v>2</v>
      </c>
      <c r="B11" s="90"/>
      <c r="C11" s="22"/>
      <c r="D11" s="22"/>
      <c r="E11" s="142">
        <f>SUM(E7:E10)</f>
        <v>16892710846</v>
      </c>
      <c r="F11" s="95"/>
      <c r="G11" s="140">
        <f>SUM(G7:G10)</f>
        <v>1</v>
      </c>
      <c r="H11" s="93"/>
      <c r="I11" s="141">
        <f>SUM(I7:I10)</f>
        <v>0.16883954128393314</v>
      </c>
      <c r="J11" s="87"/>
      <c r="K11" s="87"/>
    </row>
    <row r="12" spans="1:14" ht="18.75" customHeight="1" thickTop="1">
      <c r="J12" s="87"/>
      <c r="K12" s="87"/>
    </row>
    <row r="13" spans="1:14" ht="18" customHeight="1">
      <c r="E13" s="18"/>
      <c r="F13" s="18"/>
      <c r="G13" s="18"/>
      <c r="J13" s="87"/>
      <c r="K13" s="87"/>
    </row>
    <row r="14" spans="1:14" ht="18" customHeight="1">
      <c r="E14" s="18"/>
      <c r="F14" s="18"/>
      <c r="G14" s="18"/>
      <c r="J14" s="87"/>
      <c r="K14" s="87"/>
    </row>
    <row r="15" spans="1:14" ht="18" customHeight="1">
      <c r="E15" s="18"/>
      <c r="F15" s="18"/>
      <c r="G15" s="18"/>
      <c r="J15" s="87"/>
      <c r="K15" s="87"/>
    </row>
    <row r="16" spans="1:14" ht="18" customHeight="1">
      <c r="E16" s="18"/>
      <c r="F16" s="18"/>
      <c r="G16" s="18"/>
      <c r="J16" s="87"/>
      <c r="K16" s="87"/>
    </row>
    <row r="17" spans="1:11" ht="17.45" customHeight="1">
      <c r="E17" s="18"/>
      <c r="F17" s="18"/>
      <c r="G17" s="18"/>
      <c r="J17" s="87"/>
      <c r="K17" s="87"/>
    </row>
    <row r="18" spans="1:11" ht="17.45" customHeight="1">
      <c r="E18" s="18"/>
      <c r="F18" s="18"/>
      <c r="G18" s="18"/>
    </row>
    <row r="19" spans="1:11" ht="17.45" customHeight="1"/>
    <row r="21" spans="1:11">
      <c r="A21" s="91" t="s">
        <v>55</v>
      </c>
    </row>
    <row r="27" spans="1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  <pageSetUpPr fitToPage="1"/>
  </sheetPr>
  <dimension ref="A1:AD49"/>
  <sheetViews>
    <sheetView rightToLeft="1" view="pageBreakPreview" zoomScale="55" zoomScaleNormal="100" zoomScaleSheetLayoutView="55" workbookViewId="0">
      <selection activeCell="E31" sqref="E31"/>
    </sheetView>
  </sheetViews>
  <sheetFormatPr defaultColWidth="9.140625" defaultRowHeight="15"/>
  <cols>
    <col min="1" max="1" width="53.140625" style="267" bestFit="1" customWidth="1"/>
    <col min="2" max="2" width="1.28515625" style="267" customWidth="1"/>
    <col min="3" max="3" width="26.5703125" style="39" customWidth="1"/>
    <col min="4" max="4" width="1" style="267" customWidth="1"/>
    <col min="5" max="5" width="28.42578125" style="40" customWidth="1"/>
    <col min="6" max="6" width="1.42578125" style="40" customWidth="1"/>
    <col min="7" max="7" width="26.5703125" style="40" customWidth="1"/>
    <col min="8" max="8" width="1" style="286" customWidth="1"/>
    <col min="9" max="9" width="28.42578125" style="286" customWidth="1"/>
    <col min="10" max="10" width="2" style="286" customWidth="1"/>
    <col min="11" max="11" width="28.5703125" style="287" customWidth="1"/>
    <col min="12" max="12" width="1.5703125" style="267" customWidth="1"/>
    <col min="13" max="13" width="28.42578125" style="39" bestFit="1" customWidth="1"/>
    <col min="14" max="14" width="0.85546875" style="39" customWidth="1"/>
    <col min="15" max="15" width="28.42578125" style="40" bestFit="1" customWidth="1"/>
    <col min="16" max="16" width="0.85546875" style="40" customWidth="1"/>
    <col min="17" max="17" width="28.42578125" style="40" bestFit="1" customWidth="1"/>
    <col min="18" max="18" width="0.85546875" style="40" customWidth="1"/>
    <col min="19" max="19" width="27.140625" style="40" customWidth="1"/>
    <col min="20" max="20" width="1.42578125" style="40" customWidth="1"/>
    <col min="21" max="21" width="29.85546875" style="287" customWidth="1"/>
    <col min="22" max="22" width="9.140625" style="267"/>
    <col min="23" max="23" width="55.7109375" style="267" bestFit="1" customWidth="1"/>
    <col min="24" max="24" width="21.7109375" style="267" bestFit="1" customWidth="1"/>
    <col min="25" max="25" width="22.140625" style="267" customWidth="1"/>
    <col min="26" max="26" width="54.140625" style="267" bestFit="1" customWidth="1"/>
    <col min="27" max="27" width="21.7109375" style="267" bestFit="1" customWidth="1"/>
    <col min="28" max="28" width="51.85546875" style="267" bestFit="1" customWidth="1"/>
    <col min="29" max="29" width="21.7109375" style="267" bestFit="1" customWidth="1"/>
    <col min="30" max="30" width="18.85546875" style="267" bestFit="1" customWidth="1"/>
    <col min="31" max="16384" width="9.140625" style="267"/>
  </cols>
  <sheetData>
    <row r="1" spans="1:30" ht="27.75">
      <c r="A1" s="266" t="s">
        <v>87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</row>
    <row r="2" spans="1:30" ht="27.75">
      <c r="A2" s="266" t="s">
        <v>52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</row>
    <row r="3" spans="1:30" ht="27.75">
      <c r="A3" s="266" t="str">
        <f>' سهام'!A3:W3</f>
        <v>برای ماه منتهی به 1403/04/31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</row>
    <row r="5" spans="1:30" s="268" customFormat="1" ht="24.75">
      <c r="A5" s="217" t="s">
        <v>25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</row>
    <row r="6" spans="1:30" s="268" customFormat="1" ht="9.75" customHeight="1">
      <c r="C6" s="32"/>
      <c r="E6" s="35"/>
      <c r="F6" s="35"/>
      <c r="G6" s="35"/>
      <c r="H6" s="269"/>
      <c r="I6" s="269"/>
      <c r="J6" s="269"/>
      <c r="K6" s="270"/>
      <c r="M6" s="32"/>
      <c r="N6" s="32"/>
      <c r="O6" s="35"/>
      <c r="P6" s="35"/>
      <c r="Q6" s="35"/>
      <c r="R6" s="35"/>
      <c r="S6" s="35"/>
      <c r="T6" s="35"/>
      <c r="U6" s="270"/>
    </row>
    <row r="7" spans="1:30" s="268" customFormat="1" ht="27" customHeight="1" thickBot="1">
      <c r="A7" s="271"/>
      <c r="B7" s="272"/>
      <c r="C7" s="266" t="s">
        <v>165</v>
      </c>
      <c r="D7" s="266"/>
      <c r="E7" s="266"/>
      <c r="F7" s="266"/>
      <c r="G7" s="266"/>
      <c r="H7" s="266"/>
      <c r="I7" s="266"/>
      <c r="J7" s="266"/>
      <c r="K7" s="266"/>
      <c r="L7" s="272"/>
      <c r="M7" s="266" t="s">
        <v>166</v>
      </c>
      <c r="N7" s="266"/>
      <c r="O7" s="266"/>
      <c r="P7" s="266"/>
      <c r="Q7" s="266"/>
      <c r="R7" s="266"/>
      <c r="S7" s="266"/>
      <c r="T7" s="266"/>
      <c r="U7" s="266"/>
    </row>
    <row r="8" spans="1:30" s="277" customFormat="1" ht="24.75" customHeight="1">
      <c r="A8" s="273" t="s">
        <v>21</v>
      </c>
      <c r="B8" s="273"/>
      <c r="C8" s="244" t="s">
        <v>9</v>
      </c>
      <c r="D8" s="274"/>
      <c r="E8" s="246" t="s">
        <v>10</v>
      </c>
      <c r="F8" s="241"/>
      <c r="G8" s="246" t="s">
        <v>11</v>
      </c>
      <c r="H8" s="275"/>
      <c r="I8" s="276" t="s">
        <v>2</v>
      </c>
      <c r="J8" s="276"/>
      <c r="K8" s="276"/>
      <c r="L8" s="273"/>
      <c r="M8" s="244" t="s">
        <v>9</v>
      </c>
      <c r="N8" s="249"/>
      <c r="O8" s="246" t="s">
        <v>10</v>
      </c>
      <c r="P8" s="241"/>
      <c r="Q8" s="246" t="s">
        <v>11</v>
      </c>
      <c r="R8" s="241"/>
      <c r="S8" s="276" t="s">
        <v>2</v>
      </c>
      <c r="T8" s="276"/>
      <c r="U8" s="276"/>
    </row>
    <row r="9" spans="1:30" s="277" customFormat="1" ht="6" customHeight="1" thickBot="1">
      <c r="A9" s="273"/>
      <c r="B9" s="273"/>
      <c r="C9" s="245"/>
      <c r="D9" s="273"/>
      <c r="E9" s="247"/>
      <c r="F9" s="242"/>
      <c r="G9" s="247"/>
      <c r="H9" s="278"/>
      <c r="I9" s="279"/>
      <c r="J9" s="279"/>
      <c r="K9" s="279"/>
      <c r="L9" s="273"/>
      <c r="M9" s="245"/>
      <c r="N9" s="250"/>
      <c r="O9" s="247"/>
      <c r="P9" s="242"/>
      <c r="Q9" s="247"/>
      <c r="R9" s="242"/>
      <c r="S9" s="279"/>
      <c r="T9" s="279"/>
      <c r="U9" s="279"/>
    </row>
    <row r="10" spans="1:30" s="277" customFormat="1" ht="42.75" customHeight="1" thickBot="1">
      <c r="A10" s="280"/>
      <c r="B10" s="273"/>
      <c r="C10" s="36" t="s">
        <v>56</v>
      </c>
      <c r="D10" s="273"/>
      <c r="E10" s="37" t="s">
        <v>57</v>
      </c>
      <c r="F10" s="243"/>
      <c r="G10" s="37" t="s">
        <v>58</v>
      </c>
      <c r="H10" s="278"/>
      <c r="I10" s="281" t="s">
        <v>6</v>
      </c>
      <c r="J10" s="281"/>
      <c r="K10" s="282" t="s">
        <v>16</v>
      </c>
      <c r="L10" s="273"/>
      <c r="M10" s="36" t="s">
        <v>56</v>
      </c>
      <c r="N10" s="251"/>
      <c r="O10" s="37" t="s">
        <v>57</v>
      </c>
      <c r="P10" s="243"/>
      <c r="Q10" s="37" t="s">
        <v>58</v>
      </c>
      <c r="R10" s="243"/>
      <c r="S10" s="38" t="s">
        <v>6</v>
      </c>
      <c r="T10" s="38"/>
      <c r="U10" s="282" t="s">
        <v>16</v>
      </c>
    </row>
    <row r="11" spans="1:30" s="143" customFormat="1" ht="30.75">
      <c r="A11" s="283" t="s">
        <v>140</v>
      </c>
      <c r="C11" s="4">
        <f>IFERROR(VLOOKUP(A11,'درآمد سود سهام'!$A$8:$S$108,13,0),0)</f>
        <v>134846793</v>
      </c>
      <c r="D11" s="4"/>
      <c r="E11" s="4">
        <f>IFERROR(VLOOKUP(A11,'درآمد ناشی از تغییر قیمت  '!$A$7:$Q$104,9,0),0)</f>
        <v>26097035</v>
      </c>
      <c r="F11" s="4"/>
      <c r="G11" s="4">
        <f>IFERROR(VLOOKUP(A11,'درآمد ناشی ازفروش'!$A$7:$I$112,9,0),0)</f>
        <v>0</v>
      </c>
      <c r="H11" s="4"/>
      <c r="I11" s="4">
        <f>G11+E11+C11</f>
        <v>160943828</v>
      </c>
      <c r="K11" s="126">
        <f>I11/7030405477</f>
        <v>2.2892538492485019E-2</v>
      </c>
      <c r="M11" s="4">
        <f>IFERROR(VLOOKUP(A11,'درآمد سود سهام'!$A$8:$S$108,19,0),0)</f>
        <v>134846793</v>
      </c>
      <c r="N11" s="4"/>
      <c r="O11" s="4">
        <f>IFERROR(VLOOKUP(A11,'درآمد ناشی از تغییر قیمت  '!$A$7:$Q$104,17,0),0)</f>
        <v>-202591770</v>
      </c>
      <c r="P11" s="4"/>
      <c r="Q11" s="4">
        <f>IFERROR(VLOOKUP(A11,'درآمد ناشی ازفروش'!$A$7:$Q$112,17,0),0)</f>
        <v>-7143129</v>
      </c>
      <c r="R11" s="4"/>
      <c r="S11" s="4">
        <f>Q11+O11+M11</f>
        <v>-74888106</v>
      </c>
      <c r="T11" s="148"/>
      <c r="U11" s="53">
        <f>S11/درآمدها!$J$4</f>
        <v>-3.6007611561918638E-3</v>
      </c>
      <c r="V11" s="149"/>
      <c r="W11" s="149"/>
      <c r="X11" s="149"/>
      <c r="Y11" s="149"/>
      <c r="Z11" s="149"/>
      <c r="AA11" s="149"/>
      <c r="AB11" s="149"/>
      <c r="AC11" s="149"/>
      <c r="AD11" s="149"/>
    </row>
    <row r="12" spans="1:30" s="143" customFormat="1" ht="30.75">
      <c r="A12" s="283" t="s">
        <v>89</v>
      </c>
      <c r="C12" s="4">
        <f>IFERROR(VLOOKUP(A12,'درآمد سود سهام'!$A$8:$S$108,13,0),0)</f>
        <v>0</v>
      </c>
      <c r="D12" s="4"/>
      <c r="E12" s="4">
        <f>IFERROR(VLOOKUP(A12,'درآمد ناشی از تغییر قیمت  '!$A$7:$Q$104,9,0),0)</f>
        <v>0</v>
      </c>
      <c r="F12" s="4"/>
      <c r="G12" s="4">
        <f>IFERROR(VLOOKUP(A12,'درآمد ناشی ازفروش'!$A$7:$I$112,9,0),0)</f>
        <v>0</v>
      </c>
      <c r="H12" s="4"/>
      <c r="I12" s="4">
        <f t="shared" ref="I12:I38" si="0">G12+E12+C12</f>
        <v>0</v>
      </c>
      <c r="K12" s="126">
        <f t="shared" ref="K12:K38" si="1">I12/7030405477</f>
        <v>0</v>
      </c>
      <c r="M12" s="4">
        <f>IFERROR(VLOOKUP(A12,'درآمد سود سهام'!$A$8:$S$108,19,0),0)</f>
        <v>0</v>
      </c>
      <c r="N12" s="4"/>
      <c r="O12" s="4">
        <f>IFERROR(VLOOKUP(A12,'درآمد ناشی از تغییر قیمت  '!$A$7:$Q$104,17,0),0)</f>
        <v>0</v>
      </c>
      <c r="P12" s="4"/>
      <c r="Q12" s="4">
        <f>IFERROR(VLOOKUP(A12,'درآمد ناشی ازفروش'!$A$7:$Q$112,17,0),0)</f>
        <v>1167277212</v>
      </c>
      <c r="R12" s="4"/>
      <c r="S12" s="4">
        <f t="shared" ref="S12:S38" si="2">Q12+O12+M12</f>
        <v>1167277212</v>
      </c>
      <c r="T12" s="148"/>
      <c r="U12" s="53">
        <f>S12/درآمدها!$J$4</f>
        <v>5.6124886420248571E-2</v>
      </c>
      <c r="V12" s="149"/>
      <c r="W12" s="149"/>
      <c r="X12" s="149"/>
      <c r="Y12" s="149"/>
      <c r="Z12" s="149"/>
      <c r="AA12" s="149"/>
      <c r="AB12" s="149"/>
      <c r="AC12" s="149"/>
      <c r="AD12" s="149"/>
    </row>
    <row r="13" spans="1:30" s="143" customFormat="1" ht="30.75">
      <c r="A13" s="283" t="s">
        <v>123</v>
      </c>
      <c r="C13" s="4">
        <f>IFERROR(VLOOKUP(A13,'درآمد سود سهام'!$A$8:$S$108,13,0),0)</f>
        <v>0</v>
      </c>
      <c r="D13" s="4"/>
      <c r="E13" s="4">
        <f>IFERROR(VLOOKUP(A13,'درآمد ناشی از تغییر قیمت  '!$A$7:$Q$104,9,0),0)</f>
        <v>77399913</v>
      </c>
      <c r="F13" s="4"/>
      <c r="G13" s="4">
        <f>IFERROR(VLOOKUP(A13,'درآمد ناشی ازفروش'!$A$7:$I$112,9,0),0)</f>
        <v>0</v>
      </c>
      <c r="H13" s="4"/>
      <c r="I13" s="4">
        <f t="shared" si="0"/>
        <v>77399913</v>
      </c>
      <c r="K13" s="126">
        <f t="shared" si="1"/>
        <v>1.1009309954200241E-2</v>
      </c>
      <c r="M13" s="4">
        <f>IFERROR(VLOOKUP(A13,'درآمد سود سهام'!$A$8:$S$108,19,0),0)</f>
        <v>120039100</v>
      </c>
      <c r="N13" s="4"/>
      <c r="O13" s="4">
        <f>IFERROR(VLOOKUP(A13,'درآمد ناشی از تغییر قیمت  '!$A$7:$Q$104,17,0),0)</f>
        <v>224152628</v>
      </c>
      <c r="P13" s="4"/>
      <c r="Q13" s="4">
        <f>IFERROR(VLOOKUP(A13,'درآمد ناشی ازفروش'!$A$7:$Q$112,17,0),0)</f>
        <v>30407738</v>
      </c>
      <c r="R13" s="4"/>
      <c r="S13" s="4">
        <f t="shared" si="2"/>
        <v>374599466</v>
      </c>
      <c r="T13" s="148"/>
      <c r="U13" s="53">
        <f>S13/درآمدها!$J$4</f>
        <v>1.8011447723127284E-2</v>
      </c>
      <c r="V13" s="149"/>
      <c r="W13" s="149"/>
      <c r="X13" s="149"/>
      <c r="Y13" s="149"/>
      <c r="Z13" s="149"/>
      <c r="AA13" s="149"/>
      <c r="AB13" s="149"/>
      <c r="AC13" s="149"/>
      <c r="AD13" s="149"/>
    </row>
    <row r="14" spans="1:30" s="143" customFormat="1" ht="30.75">
      <c r="A14" s="283" t="s">
        <v>99</v>
      </c>
      <c r="C14" s="4">
        <f>IFERROR(VLOOKUP(A14,'درآمد سود سهام'!$A$8:$S$108,13,0),0)</f>
        <v>0</v>
      </c>
      <c r="D14" s="4"/>
      <c r="E14" s="4">
        <f>IFERROR(VLOOKUP(A14,'درآمد ناشی از تغییر قیمت  '!$A$7:$Q$104,9,0),0)</f>
        <v>331452733</v>
      </c>
      <c r="F14" s="4"/>
      <c r="G14" s="4">
        <f>IFERROR(VLOOKUP(A14,'درآمد ناشی ازفروش'!$A$7:$I$112,9,0),0)</f>
        <v>0</v>
      </c>
      <c r="H14" s="4"/>
      <c r="I14" s="4">
        <f t="shared" si="0"/>
        <v>331452733</v>
      </c>
      <c r="K14" s="126">
        <f t="shared" si="1"/>
        <v>4.714560690480072E-2</v>
      </c>
      <c r="M14" s="4">
        <f>IFERROR(VLOOKUP(A14,'درآمد سود سهام'!$A$8:$S$108,19,0),0)</f>
        <v>245526400</v>
      </c>
      <c r="N14" s="4"/>
      <c r="O14" s="4">
        <f>IFERROR(VLOOKUP(A14,'درآمد ناشی از تغییر قیمت  '!$A$7:$Q$104,17,0),0)</f>
        <v>295019974</v>
      </c>
      <c r="P14" s="4"/>
      <c r="Q14" s="4">
        <f>IFERROR(VLOOKUP(A14,'درآمد ناشی ازفروش'!$A$7:$Q$112,17,0),0)</f>
        <v>80731059</v>
      </c>
      <c r="R14" s="4"/>
      <c r="S14" s="4">
        <f t="shared" si="2"/>
        <v>621277433</v>
      </c>
      <c r="T14" s="148"/>
      <c r="U14" s="53">
        <f>S14/درآمدها!$J$4</f>
        <v>2.9872188888913725E-2</v>
      </c>
      <c r="V14" s="149"/>
      <c r="W14" s="149"/>
      <c r="X14" s="149"/>
      <c r="Y14" s="149"/>
      <c r="Z14" s="149"/>
      <c r="AA14" s="149"/>
      <c r="AB14" s="149"/>
      <c r="AC14" s="149"/>
      <c r="AD14" s="149"/>
    </row>
    <row r="15" spans="1:30" s="143" customFormat="1" ht="30.75">
      <c r="A15" s="283" t="s">
        <v>105</v>
      </c>
      <c r="C15" s="4">
        <f>IFERROR(VLOOKUP(A15,'درآمد سود سهام'!$A$8:$S$108,13,0),0)</f>
        <v>0</v>
      </c>
      <c r="D15" s="4"/>
      <c r="E15" s="4">
        <f>IFERROR(VLOOKUP(A15,'درآمد ناشی از تغییر قیمت  '!$A$7:$Q$104,9,0),0)</f>
        <v>109526936</v>
      </c>
      <c r="F15" s="4"/>
      <c r="G15" s="4">
        <f>IFERROR(VLOOKUP(A15,'درآمد ناشی ازفروش'!$A$7:$I$112,9,0),0)</f>
        <v>0</v>
      </c>
      <c r="H15" s="4"/>
      <c r="I15" s="4">
        <f t="shared" si="0"/>
        <v>109526936</v>
      </c>
      <c r="K15" s="126">
        <f t="shared" si="1"/>
        <v>1.5579035428087017E-2</v>
      </c>
      <c r="M15" s="4">
        <f>IFERROR(VLOOKUP(A15,'درآمد سود سهام'!$A$8:$S$108,19,0),0)</f>
        <v>161146120</v>
      </c>
      <c r="N15" s="4"/>
      <c r="O15" s="4">
        <f>IFERROR(VLOOKUP(A15,'درآمد ناشی از تغییر قیمت  '!$A$7:$Q$104,17,0),0)</f>
        <v>60612355</v>
      </c>
      <c r="P15" s="4"/>
      <c r="Q15" s="4">
        <f>IFERROR(VLOOKUP(A15,'درآمد ناشی ازفروش'!$A$7:$Q$112,17,0),0)</f>
        <v>64409397</v>
      </c>
      <c r="R15" s="4"/>
      <c r="S15" s="4">
        <f t="shared" si="2"/>
        <v>286167872</v>
      </c>
      <c r="T15" s="148"/>
      <c r="U15" s="53">
        <f>S15/درآمدها!$J$4</f>
        <v>1.3759490160529434E-2</v>
      </c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0" s="143" customFormat="1" ht="30.75">
      <c r="A16" s="283" t="s">
        <v>107</v>
      </c>
      <c r="C16" s="4">
        <f>IFERROR(VLOOKUP(A16,'درآمد سود سهام'!$A$8:$S$108,13,0),0)</f>
        <v>0</v>
      </c>
      <c r="D16" s="4"/>
      <c r="E16" s="4">
        <f>IFERROR(VLOOKUP(A16,'درآمد ناشی از تغییر قیمت  '!$A$7:$Q$104,9,0),0)</f>
        <v>0</v>
      </c>
      <c r="F16" s="4"/>
      <c r="G16" s="4">
        <f>IFERROR(VLOOKUP(A16,'درآمد ناشی ازفروش'!$A$7:$I$112,9,0),0)</f>
        <v>0</v>
      </c>
      <c r="H16" s="4"/>
      <c r="I16" s="4">
        <f t="shared" si="0"/>
        <v>0</v>
      </c>
      <c r="K16" s="126">
        <f t="shared" si="1"/>
        <v>0</v>
      </c>
      <c r="M16" s="4">
        <f>IFERROR(VLOOKUP(A16,'درآمد سود سهام'!$A$8:$S$108,19,0),0)</f>
        <v>0</v>
      </c>
      <c r="N16" s="4"/>
      <c r="O16" s="4">
        <f>IFERROR(VLOOKUP(A16,'درآمد ناشی از تغییر قیمت  '!$A$7:$Q$104,17,0),0)</f>
        <v>0</v>
      </c>
      <c r="P16" s="4"/>
      <c r="Q16" s="4">
        <f>IFERROR(VLOOKUP(A16,'درآمد ناشی ازفروش'!$A$7:$Q$112,17,0),0)</f>
        <v>607602345</v>
      </c>
      <c r="R16" s="4"/>
      <c r="S16" s="4">
        <f t="shared" si="2"/>
        <v>607602345</v>
      </c>
      <c r="T16" s="148"/>
      <c r="U16" s="53">
        <f>S16/درآمدها!$J$4</f>
        <v>2.9214664906695432E-2</v>
      </c>
      <c r="V16" s="149"/>
      <c r="W16" s="149"/>
      <c r="X16" s="149"/>
      <c r="Y16" s="149"/>
      <c r="Z16" s="149"/>
      <c r="AA16" s="149"/>
      <c r="AB16" s="149"/>
      <c r="AC16" s="149"/>
      <c r="AD16" s="149"/>
    </row>
    <row r="17" spans="1:30" s="143" customFormat="1" ht="30.75">
      <c r="A17" s="283" t="s">
        <v>92</v>
      </c>
      <c r="C17" s="4">
        <f>IFERROR(VLOOKUP(A17,'درآمد سود سهام'!$A$8:$S$108,13,0),0)</f>
        <v>345388086</v>
      </c>
      <c r="D17" s="4"/>
      <c r="E17" s="4">
        <f>IFERROR(VLOOKUP(A17,'درآمد ناشی از تغییر قیمت  '!$A$7:$Q$104,9,0),0)</f>
        <v>-94099888</v>
      </c>
      <c r="F17" s="4"/>
      <c r="G17" s="4">
        <f>IFERROR(VLOOKUP(A17,'درآمد ناشی ازفروش'!$A$7:$I$112,9,0),0)</f>
        <v>18326857</v>
      </c>
      <c r="H17" s="4"/>
      <c r="I17" s="4">
        <f t="shared" si="0"/>
        <v>269615055</v>
      </c>
      <c r="K17" s="126">
        <f t="shared" si="1"/>
        <v>3.8349858465780776E-2</v>
      </c>
      <c r="M17" s="4">
        <f>IFERROR(VLOOKUP(A17,'درآمد سود سهام'!$A$8:$S$108,19,0),0)</f>
        <v>345388086</v>
      </c>
      <c r="N17" s="4"/>
      <c r="O17" s="4">
        <f>IFERROR(VLOOKUP(A17,'درآمد ناشی از تغییر قیمت  '!$A$7:$Q$104,17,0),0)</f>
        <v>252139033</v>
      </c>
      <c r="P17" s="4"/>
      <c r="Q17" s="4">
        <f>IFERROR(VLOOKUP(A17,'درآمد ناشی ازفروش'!$A$7:$Q$112,17,0),0)</f>
        <v>491162141</v>
      </c>
      <c r="R17" s="4"/>
      <c r="S17" s="4">
        <f t="shared" si="2"/>
        <v>1088689260</v>
      </c>
      <c r="T17" s="148"/>
      <c r="U17" s="53">
        <f>S17/درآمدها!$J$4</f>
        <v>5.2346229701299492E-2</v>
      </c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3" customFormat="1" ht="30.75">
      <c r="A18" s="283" t="s">
        <v>91</v>
      </c>
      <c r="C18" s="4">
        <f>IFERROR(VLOOKUP(A18,'درآمد سود سهام'!$A$8:$S$108,13,0),0)</f>
        <v>521332033</v>
      </c>
      <c r="D18" s="4"/>
      <c r="E18" s="4">
        <f>IFERROR(VLOOKUP(A18,'درآمد ناشی از تغییر قیمت  '!$A$7:$Q$104,9,0),0)</f>
        <v>-161471615</v>
      </c>
      <c r="F18" s="4"/>
      <c r="G18" s="4">
        <f>IFERROR(VLOOKUP(A18,'درآمد ناشی ازفروش'!$A$7:$I$112,9,0),0)</f>
        <v>0</v>
      </c>
      <c r="H18" s="4"/>
      <c r="I18" s="4">
        <f t="shared" si="0"/>
        <v>359860418</v>
      </c>
      <c r="K18" s="126">
        <f t="shared" si="1"/>
        <v>5.1186296320643927E-2</v>
      </c>
      <c r="M18" s="4">
        <f>IFERROR(VLOOKUP(A18,'درآمد سود سهام'!$A$8:$S$108,19,0),0)</f>
        <v>521332033</v>
      </c>
      <c r="N18" s="4"/>
      <c r="O18" s="4">
        <f>IFERROR(VLOOKUP(A18,'درآمد ناشی از تغییر قیمت  '!$A$7:$Q$104,17,0),0)</f>
        <v>-39224155</v>
      </c>
      <c r="P18" s="4"/>
      <c r="Q18" s="4">
        <f>IFERROR(VLOOKUP(A18,'درآمد ناشی ازفروش'!$A$7:$Q$112,17,0),0)</f>
        <v>404521089</v>
      </c>
      <c r="R18" s="4"/>
      <c r="S18" s="4">
        <f t="shared" si="2"/>
        <v>886628967</v>
      </c>
      <c r="T18" s="148"/>
      <c r="U18" s="53">
        <f>S18/درآمدها!$J$4</f>
        <v>4.2630790319735393E-2</v>
      </c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3" customFormat="1" ht="30.75">
      <c r="A19" s="283" t="s">
        <v>93</v>
      </c>
      <c r="C19" s="4">
        <f>IFERROR(VLOOKUP(A19,'درآمد سود سهام'!$A$8:$S$108,13,0),0)</f>
        <v>0</v>
      </c>
      <c r="D19" s="4"/>
      <c r="E19" s="4">
        <f>IFERROR(VLOOKUP(A19,'درآمد ناشی از تغییر قیمت  '!$A$7:$Q$104,9,0),0)</f>
        <v>-118627228</v>
      </c>
      <c r="F19" s="4"/>
      <c r="G19" s="4">
        <f>IFERROR(VLOOKUP(A19,'درآمد ناشی ازفروش'!$A$7:$I$112,9,0),0)</f>
        <v>-39557083</v>
      </c>
      <c r="H19" s="4"/>
      <c r="I19" s="4">
        <f t="shared" si="0"/>
        <v>-158184311</v>
      </c>
      <c r="K19" s="126">
        <f t="shared" si="1"/>
        <v>-2.2500026707918997E-2</v>
      </c>
      <c r="M19" s="4">
        <f>IFERROR(VLOOKUP(A19,'درآمد سود سهام'!$A$8:$S$108,19,0),0)</f>
        <v>0</v>
      </c>
      <c r="N19" s="4"/>
      <c r="O19" s="4">
        <f>IFERROR(VLOOKUP(A19,'درآمد ناشی از تغییر قیمت  '!$A$7:$Q$104,17,0),0)</f>
        <v>-479072317</v>
      </c>
      <c r="P19" s="4"/>
      <c r="Q19" s="4">
        <f>IFERROR(VLOOKUP(A19,'درآمد ناشی ازفروش'!$A$7:$Q$112,17,0),0)</f>
        <v>-152091897</v>
      </c>
      <c r="R19" s="4"/>
      <c r="S19" s="4">
        <f t="shared" si="2"/>
        <v>-631164214</v>
      </c>
      <c r="T19" s="148"/>
      <c r="U19" s="53">
        <f>S19/درآمدها!$J$4</f>
        <v>-3.0347563936916351E-2</v>
      </c>
      <c r="V19" s="149"/>
      <c r="W19" s="149"/>
      <c r="X19" s="149"/>
      <c r="Y19" s="149"/>
      <c r="Z19" s="149"/>
      <c r="AA19" s="149"/>
      <c r="AB19" s="149"/>
      <c r="AC19" s="149"/>
      <c r="AD19" s="149"/>
    </row>
    <row r="20" spans="1:30" s="143" customFormat="1" ht="30.75">
      <c r="A20" s="283" t="s">
        <v>102</v>
      </c>
      <c r="C20" s="4">
        <f>IFERROR(VLOOKUP(A20,'درآمد سود سهام'!$A$8:$S$108,13,0),0)</f>
        <v>0</v>
      </c>
      <c r="D20" s="4"/>
      <c r="E20" s="4">
        <f>IFERROR(VLOOKUP(A20,'درآمد ناشی از تغییر قیمت  '!$A$7:$Q$104,9,0),0)</f>
        <v>203168907</v>
      </c>
      <c r="F20" s="4"/>
      <c r="G20" s="4">
        <f>IFERROR(VLOOKUP(A20,'درآمد ناشی ازفروش'!$A$7:$I$112,9,0),0)</f>
        <v>0</v>
      </c>
      <c r="H20" s="4"/>
      <c r="I20" s="4">
        <f t="shared" si="0"/>
        <v>203168907</v>
      </c>
      <c r="K20" s="126">
        <f t="shared" si="1"/>
        <v>2.8898604449582303E-2</v>
      </c>
      <c r="M20" s="4">
        <f>IFERROR(VLOOKUP(A20,'درآمد سود سهام'!$A$8:$S$108,19,0),0)</f>
        <v>166369390</v>
      </c>
      <c r="N20" s="4"/>
      <c r="O20" s="4">
        <f>IFERROR(VLOOKUP(A20,'درآمد ناشی از تغییر قیمت  '!$A$7:$Q$104,17,0),0)</f>
        <v>214339051</v>
      </c>
      <c r="P20" s="4"/>
      <c r="Q20" s="4">
        <f>IFERROR(VLOOKUP(A20,'درآمد ناشی ازفروش'!$A$7:$Q$112,17,0),0)</f>
        <v>275624711</v>
      </c>
      <c r="R20" s="4"/>
      <c r="S20" s="4">
        <f t="shared" si="2"/>
        <v>656333152</v>
      </c>
      <c r="T20" s="148"/>
      <c r="U20" s="53">
        <f>S20/درآمدها!$J$4</f>
        <v>3.1557733870884251E-2</v>
      </c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3" customFormat="1" ht="30.75">
      <c r="A21" s="283" t="s">
        <v>94</v>
      </c>
      <c r="C21" s="4">
        <f>IFERROR(VLOOKUP(A21,'درآمد سود سهام'!$A$8:$S$108,13,0),0)</f>
        <v>0</v>
      </c>
      <c r="D21" s="4"/>
      <c r="E21" s="4">
        <f>IFERROR(VLOOKUP(A21,'درآمد ناشی از تغییر قیمت  '!$A$7:$Q$104,9,0),0)</f>
        <v>1306069221</v>
      </c>
      <c r="F21" s="4"/>
      <c r="G21" s="4">
        <f>IFERROR(VLOOKUP(A21,'درآمد ناشی ازفروش'!$A$7:$I$112,9,0),0)</f>
        <v>0</v>
      </c>
      <c r="H21" s="4"/>
      <c r="I21" s="4">
        <f t="shared" si="0"/>
        <v>1306069221</v>
      </c>
      <c r="K21" s="126">
        <f t="shared" si="1"/>
        <v>0.18577438033592952</v>
      </c>
      <c r="M21" s="4">
        <f>IFERROR(VLOOKUP(A21,'درآمد سود سهام'!$A$8:$S$108,19,0),0)</f>
        <v>0</v>
      </c>
      <c r="N21" s="4"/>
      <c r="O21" s="4">
        <f>IFERROR(VLOOKUP(A21,'درآمد ناشی از تغییر قیمت  '!$A$7:$Q$104,17,0),0)</f>
        <v>-798073100</v>
      </c>
      <c r="P21" s="4"/>
      <c r="Q21" s="4">
        <f>IFERROR(VLOOKUP(A21,'درآمد ناشی ازفروش'!$A$7:$Q$112,17,0),0)</f>
        <v>706313996</v>
      </c>
      <c r="R21" s="4"/>
      <c r="S21" s="4">
        <f t="shared" si="2"/>
        <v>-91759104</v>
      </c>
      <c r="T21" s="148"/>
      <c r="U21" s="53">
        <f>S21/درآمدها!$J$4</f>
        <v>-4.4119505093394868E-3</v>
      </c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3" customFormat="1" ht="30.75">
      <c r="A22" s="283" t="s">
        <v>104</v>
      </c>
      <c r="C22" s="4">
        <f>IFERROR(VLOOKUP(A22,'درآمد سود سهام'!$A$8:$S$108,13,0),0)</f>
        <v>0</v>
      </c>
      <c r="D22" s="4"/>
      <c r="E22" s="4">
        <f>IFERROR(VLOOKUP(A22,'درآمد ناشی از تغییر قیمت  '!$A$7:$Q$104,9,0),0)</f>
        <v>0</v>
      </c>
      <c r="F22" s="4"/>
      <c r="G22" s="4">
        <f>IFERROR(VLOOKUP(A22,'درآمد ناشی ازفروش'!$A$7:$I$112,9,0),0)</f>
        <v>0</v>
      </c>
      <c r="H22" s="4"/>
      <c r="I22" s="4">
        <f t="shared" si="0"/>
        <v>0</v>
      </c>
      <c r="K22" s="126">
        <f t="shared" si="1"/>
        <v>0</v>
      </c>
      <c r="M22" s="4">
        <f>IFERROR(VLOOKUP(A22,'درآمد سود سهام'!$A$8:$S$108,19,0),0)</f>
        <v>0</v>
      </c>
      <c r="N22" s="4"/>
      <c r="O22" s="4">
        <f>IFERROR(VLOOKUP(A22,'درآمد ناشی از تغییر قیمت  '!$A$7:$Q$104,17,0),0)</f>
        <v>0</v>
      </c>
      <c r="P22" s="4"/>
      <c r="Q22" s="4">
        <f>IFERROR(VLOOKUP(A22,'درآمد ناشی ازفروش'!$A$7:$Q$112,17,0),0)</f>
        <v>94815083</v>
      </c>
      <c r="R22" s="4"/>
      <c r="S22" s="4">
        <f t="shared" si="2"/>
        <v>94815083</v>
      </c>
      <c r="T22" s="148"/>
      <c r="U22" s="53">
        <f>S22/درآمدها!$J$4</f>
        <v>4.5588877342886405E-3</v>
      </c>
      <c r="V22" s="149"/>
      <c r="W22" s="149"/>
      <c r="X22" s="149"/>
      <c r="Y22" s="149"/>
      <c r="Z22" s="149"/>
      <c r="AA22" s="149"/>
      <c r="AB22" s="149"/>
      <c r="AC22" s="149"/>
      <c r="AD22" s="149"/>
    </row>
    <row r="23" spans="1:30" s="143" customFormat="1" ht="30.75">
      <c r="A23" s="283" t="s">
        <v>90</v>
      </c>
      <c r="C23" s="4">
        <f>IFERROR(VLOOKUP(A23,'درآمد سود سهام'!$A$8:$S$108,13,0),0)</f>
        <v>348759072</v>
      </c>
      <c r="D23" s="4"/>
      <c r="E23" s="4">
        <f>IFERROR(VLOOKUP(A23,'درآمد ناشی از تغییر قیمت  '!$A$7:$Q$104,9,0),0)</f>
        <v>-97794324</v>
      </c>
      <c r="F23" s="4"/>
      <c r="G23" s="4">
        <f>IFERROR(VLOOKUP(A23,'درآمد ناشی ازفروش'!$A$7:$I$112,9,0),0)</f>
        <v>-18385152</v>
      </c>
      <c r="H23" s="4"/>
      <c r="I23" s="4">
        <f t="shared" si="0"/>
        <v>232579596</v>
      </c>
      <c r="K23" s="126">
        <f t="shared" si="1"/>
        <v>3.3081960458878949E-2</v>
      </c>
      <c r="M23" s="4">
        <f>IFERROR(VLOOKUP(A23,'درآمد سود سهام'!$A$8:$S$108,19,0),0)</f>
        <v>348759072</v>
      </c>
      <c r="N23" s="4"/>
      <c r="O23" s="4">
        <f>IFERROR(VLOOKUP(A23,'درآمد ناشی از تغییر قیمت  '!$A$7:$Q$104,17,0),0)</f>
        <v>-430612211</v>
      </c>
      <c r="P23" s="4"/>
      <c r="Q23" s="4">
        <f>IFERROR(VLOOKUP(A23,'درآمد ناشی ازفروش'!$A$7:$Q$112,17,0),0)</f>
        <v>-200000198</v>
      </c>
      <c r="R23" s="4"/>
      <c r="S23" s="4">
        <f t="shared" si="2"/>
        <v>-281853337</v>
      </c>
      <c r="T23" s="148"/>
      <c r="U23" s="53">
        <f>S23/درآمدها!$J$4</f>
        <v>-1.3552039193148442E-2</v>
      </c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3" customFormat="1" ht="30.75">
      <c r="A24" s="283" t="s">
        <v>88</v>
      </c>
      <c r="C24" s="4">
        <f>IFERROR(VLOOKUP(A24,'درآمد سود سهام'!$A$8:$S$108,13,0),0)</f>
        <v>0</v>
      </c>
      <c r="D24" s="4"/>
      <c r="E24" s="4">
        <f>IFERROR(VLOOKUP(A24,'درآمد ناشی از تغییر قیمت  '!$A$7:$Q$104,9,0),0)</f>
        <v>-70972636</v>
      </c>
      <c r="F24" s="4"/>
      <c r="G24" s="4">
        <f>IFERROR(VLOOKUP(A24,'درآمد ناشی ازفروش'!$A$7:$I$112,9,0),0)</f>
        <v>0</v>
      </c>
      <c r="H24" s="4"/>
      <c r="I24" s="4">
        <f t="shared" si="0"/>
        <v>-70972636</v>
      </c>
      <c r="K24" s="126">
        <f t="shared" si="1"/>
        <v>-1.0095098530545254E-2</v>
      </c>
      <c r="M24" s="4">
        <f>IFERROR(VLOOKUP(A24,'درآمد سود سهام'!$A$8:$S$108,19,0),0)</f>
        <v>248736132</v>
      </c>
      <c r="N24" s="4"/>
      <c r="O24" s="4">
        <f>IFERROR(VLOOKUP(A24,'درآمد ناشی از تغییر قیمت  '!$A$7:$Q$104,17,0),0)</f>
        <v>-625466991</v>
      </c>
      <c r="P24" s="4"/>
      <c r="Q24" s="4">
        <f>IFERROR(VLOOKUP(A24,'درآمد ناشی ازفروش'!$A$7:$Q$112,17,0),0)</f>
        <v>872156694</v>
      </c>
      <c r="R24" s="4"/>
      <c r="S24" s="4">
        <f t="shared" si="2"/>
        <v>495425835</v>
      </c>
      <c r="T24" s="148"/>
      <c r="U24" s="53">
        <f>S24/درآمدها!$J$4</f>
        <v>2.3821007069425946E-2</v>
      </c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0" s="143" customFormat="1" ht="30.75">
      <c r="A25" s="283" t="s">
        <v>121</v>
      </c>
      <c r="C25" s="4">
        <f>IFERROR(VLOOKUP(A25,'درآمد سود سهام'!$A$8:$S$108,13,0),0)</f>
        <v>358888592</v>
      </c>
      <c r="D25" s="4"/>
      <c r="E25" s="4">
        <f>IFERROR(VLOOKUP(A25,'درآمد ناشی از تغییر قیمت  '!$A$7:$Q$104,9,0),0)</f>
        <v>-301193783</v>
      </c>
      <c r="F25" s="4"/>
      <c r="G25" s="4">
        <f>IFERROR(VLOOKUP(A25,'درآمد ناشی ازفروش'!$A$7:$I$112,9,0),0)</f>
        <v>0</v>
      </c>
      <c r="H25" s="4"/>
      <c r="I25" s="4">
        <f t="shared" si="0"/>
        <v>57694809</v>
      </c>
      <c r="K25" s="126">
        <f t="shared" si="1"/>
        <v>8.206469625222727E-3</v>
      </c>
      <c r="M25" s="4">
        <f>IFERROR(VLOOKUP(A25,'درآمد سود سهام'!$A$8:$S$108,19,0),0)</f>
        <v>358888592</v>
      </c>
      <c r="N25" s="4"/>
      <c r="O25" s="4">
        <f>IFERROR(VLOOKUP(A25,'درآمد ناشی از تغییر قیمت  '!$A$7:$Q$104,17,0),0)</f>
        <v>-507358098</v>
      </c>
      <c r="P25" s="4"/>
      <c r="Q25" s="4">
        <f>IFERROR(VLOOKUP(A25,'درآمد ناشی ازفروش'!$A$7:$Q$112,17,0),0)</f>
        <v>-57736044</v>
      </c>
      <c r="R25" s="4"/>
      <c r="S25" s="4">
        <f t="shared" si="2"/>
        <v>-206205550</v>
      </c>
      <c r="T25" s="148"/>
      <c r="U25" s="53">
        <f>S25/درآمدها!$J$4</f>
        <v>-9.9147511439423922E-3</v>
      </c>
      <c r="V25" s="149"/>
      <c r="W25" s="149"/>
      <c r="X25" s="149"/>
      <c r="Y25" s="149"/>
      <c r="Z25" s="149"/>
      <c r="AA25" s="149"/>
      <c r="AB25" s="149"/>
      <c r="AC25" s="149"/>
      <c r="AD25" s="149"/>
    </row>
    <row r="26" spans="1:30" s="143" customFormat="1" ht="30.75">
      <c r="A26" s="283" t="s">
        <v>95</v>
      </c>
      <c r="C26" s="4">
        <f>IFERROR(VLOOKUP(A26,'درآمد سود سهام'!$A$8:$S$108,13,0),0)</f>
        <v>229641976</v>
      </c>
      <c r="D26" s="4"/>
      <c r="E26" s="4">
        <f>IFERROR(VLOOKUP(A26,'درآمد ناشی از تغییر قیمت  '!$A$7:$Q$104,9,0),0)</f>
        <v>173213914</v>
      </c>
      <c r="F26" s="4"/>
      <c r="G26" s="4">
        <f>IFERROR(VLOOKUP(A26,'درآمد ناشی ازفروش'!$A$7:$I$112,9,0),0)</f>
        <v>-36734155</v>
      </c>
      <c r="H26" s="4"/>
      <c r="I26" s="4">
        <f t="shared" si="0"/>
        <v>366121735</v>
      </c>
      <c r="K26" s="126">
        <f t="shared" si="1"/>
        <v>5.2076901708979481E-2</v>
      </c>
      <c r="M26" s="4">
        <f>IFERROR(VLOOKUP(A26,'درآمد سود سهام'!$A$8:$S$108,19,0),0)</f>
        <v>229641976</v>
      </c>
      <c r="N26" s="4"/>
      <c r="O26" s="4">
        <f>IFERROR(VLOOKUP(A26,'درآمد ناشی از تغییر قیمت  '!$A$7:$Q$104,17,0),0)</f>
        <v>-200354588</v>
      </c>
      <c r="P26" s="4"/>
      <c r="Q26" s="4">
        <f>IFERROR(VLOOKUP(A26,'درآمد ناشی ازفروش'!$A$7:$Q$112,17,0),0)</f>
        <v>-833265713</v>
      </c>
      <c r="R26" s="4"/>
      <c r="S26" s="4">
        <f t="shared" si="2"/>
        <v>-803978325</v>
      </c>
      <c r="T26" s="148"/>
      <c r="U26" s="53">
        <f>S26/درآمدها!$J$4</f>
        <v>-3.8656791815247643E-2</v>
      </c>
      <c r="V26" s="149"/>
      <c r="W26" s="149"/>
      <c r="X26" s="149"/>
      <c r="Y26" s="149"/>
      <c r="Z26" s="149"/>
      <c r="AA26" s="149"/>
      <c r="AB26" s="149"/>
      <c r="AC26" s="149"/>
      <c r="AD26" s="149"/>
    </row>
    <row r="27" spans="1:30" s="143" customFormat="1" ht="30.75">
      <c r="A27" s="283" t="s">
        <v>103</v>
      </c>
      <c r="C27" s="4">
        <f>IFERROR(VLOOKUP(A27,'درآمد سود سهام'!$A$8:$S$108,13,0),0)</f>
        <v>0</v>
      </c>
      <c r="D27" s="4"/>
      <c r="E27" s="4">
        <f>IFERROR(VLOOKUP(A27,'درآمد ناشی از تغییر قیمت  '!$A$7:$Q$104,9,0),0)</f>
        <v>-43501018</v>
      </c>
      <c r="F27" s="4"/>
      <c r="G27" s="4">
        <f>IFERROR(VLOOKUP(A27,'درآمد ناشی ازفروش'!$A$7:$I$112,9,0),0)</f>
        <v>0</v>
      </c>
      <c r="H27" s="4"/>
      <c r="I27" s="4">
        <f t="shared" si="0"/>
        <v>-43501018</v>
      </c>
      <c r="K27" s="126">
        <f t="shared" si="1"/>
        <v>-6.1875546356911781E-3</v>
      </c>
      <c r="M27" s="4">
        <f>IFERROR(VLOOKUP(A27,'درآمد سود سهام'!$A$8:$S$108,19,0),0)</f>
        <v>122274500</v>
      </c>
      <c r="N27" s="4"/>
      <c r="O27" s="4">
        <f>IFERROR(VLOOKUP(A27,'درآمد ناشی از تغییر قیمت  '!$A$7:$Q$104,17,0),0)</f>
        <v>-195294720</v>
      </c>
      <c r="P27" s="4"/>
      <c r="Q27" s="4">
        <f>IFERROR(VLOOKUP(A27,'درآمد ناشی ازفروش'!$A$7:$Q$112,17,0),0)</f>
        <v>302212634</v>
      </c>
      <c r="R27" s="4"/>
      <c r="S27" s="4">
        <f t="shared" si="2"/>
        <v>229192414</v>
      </c>
      <c r="T27" s="148"/>
      <c r="U27" s="53">
        <f>S27/درآمدها!$J$4</f>
        <v>1.102000285098737E-2</v>
      </c>
      <c r="V27" s="149"/>
      <c r="W27" s="149"/>
      <c r="X27" s="149"/>
      <c r="Y27" s="149"/>
      <c r="Z27" s="149"/>
      <c r="AA27" s="149"/>
      <c r="AB27" s="149"/>
      <c r="AC27" s="149"/>
      <c r="AD27" s="149"/>
    </row>
    <row r="28" spans="1:30" s="143" customFormat="1" ht="30.75">
      <c r="A28" s="283" t="s">
        <v>111</v>
      </c>
      <c r="C28" s="4">
        <f>IFERROR(VLOOKUP(A28,'درآمد سود سهام'!$A$8:$S$108,13,0),0)</f>
        <v>0</v>
      </c>
      <c r="D28" s="4"/>
      <c r="E28" s="4">
        <f>IFERROR(VLOOKUP(A28,'درآمد ناشی از تغییر قیمت  '!$A$7:$Q$104,9,0),0)</f>
        <v>483152378</v>
      </c>
      <c r="F28" s="4"/>
      <c r="G28" s="4">
        <f>IFERROR(VLOOKUP(A28,'درآمد ناشی ازفروش'!$A$7:$I$112,9,0),0)</f>
        <v>-60124770</v>
      </c>
      <c r="H28" s="4"/>
      <c r="I28" s="4">
        <f t="shared" si="0"/>
        <v>423027608</v>
      </c>
      <c r="K28" s="126">
        <f t="shared" si="1"/>
        <v>6.0171153624628985E-2</v>
      </c>
      <c r="M28" s="4">
        <f>IFERROR(VLOOKUP(A28,'درآمد سود سهام'!$A$8:$S$108,19,0),0)</f>
        <v>0</v>
      </c>
      <c r="N28" s="4"/>
      <c r="O28" s="4">
        <f>IFERROR(VLOOKUP(A28,'درآمد ناشی از تغییر قیمت  '!$A$7:$Q$104,17,0),0)</f>
        <v>-540477106</v>
      </c>
      <c r="P28" s="4"/>
      <c r="Q28" s="4">
        <f>IFERROR(VLOOKUP(A28,'درآمد ناشی ازفروش'!$A$7:$Q$112,17,0),0)</f>
        <v>-963848859</v>
      </c>
      <c r="R28" s="4"/>
      <c r="S28" s="4">
        <f t="shared" si="2"/>
        <v>-1504325965</v>
      </c>
      <c r="T28" s="148"/>
      <c r="U28" s="53">
        <f>S28/درآمدها!$J$4</f>
        <v>-7.2330825151631445E-2</v>
      </c>
      <c r="V28" s="149"/>
      <c r="W28" s="149"/>
      <c r="X28" s="149"/>
      <c r="Y28" s="149"/>
      <c r="Z28" s="149"/>
      <c r="AA28" s="149"/>
      <c r="AB28" s="149"/>
      <c r="AC28" s="149"/>
    </row>
    <row r="29" spans="1:30" s="143" customFormat="1" ht="30.75">
      <c r="A29" s="283" t="s">
        <v>124</v>
      </c>
      <c r="C29" s="4">
        <f>IFERROR(VLOOKUP(A29,'درآمد سود سهام'!$A$8:$S$108,13,0),0)</f>
        <v>0</v>
      </c>
      <c r="D29" s="4"/>
      <c r="E29" s="4">
        <f>IFERROR(VLOOKUP(A29,'درآمد ناشی از تغییر قیمت  '!$A$7:$Q$104,9,0),0)</f>
        <v>214722543</v>
      </c>
      <c r="F29" s="4"/>
      <c r="G29" s="4">
        <f>IFERROR(VLOOKUP(A29,'درآمد ناشی ازفروش'!$A$7:$I$112,9,0),0)</f>
        <v>0</v>
      </c>
      <c r="H29" s="4"/>
      <c r="I29" s="4">
        <f t="shared" si="0"/>
        <v>214722543</v>
      </c>
      <c r="K29" s="126">
        <f t="shared" si="1"/>
        <v>3.0541985622659414E-2</v>
      </c>
      <c r="M29" s="4">
        <f>IFERROR(VLOOKUP(A29,'درآمد سود سهام'!$A$8:$S$108,19,0),0)</f>
        <v>0</v>
      </c>
      <c r="N29" s="4"/>
      <c r="O29" s="4">
        <f>IFERROR(VLOOKUP(A29,'درآمد ناشی از تغییر قیمت  '!$A$7:$Q$104,17,0),0)</f>
        <v>-158830923</v>
      </c>
      <c r="P29" s="4"/>
      <c r="Q29" s="4">
        <f>IFERROR(VLOOKUP(A29,'درآمد ناشی ازفروش'!$A$7:$Q$112,17,0),0)</f>
        <v>-383949113</v>
      </c>
      <c r="R29" s="4"/>
      <c r="S29" s="4">
        <f t="shared" si="2"/>
        <v>-542780036</v>
      </c>
      <c r="T29" s="148"/>
      <c r="U29" s="53">
        <f>S29/درآمدها!$J$4</f>
        <v>-2.6097886224886253E-2</v>
      </c>
      <c r="V29" s="149"/>
      <c r="W29" s="149"/>
      <c r="X29" s="149"/>
      <c r="Y29" s="149"/>
      <c r="Z29" s="149"/>
      <c r="AA29" s="149"/>
      <c r="AB29" s="149"/>
      <c r="AC29" s="149"/>
    </row>
    <row r="30" spans="1:30" s="143" customFormat="1" ht="30.75">
      <c r="A30" s="283" t="s">
        <v>106</v>
      </c>
      <c r="C30" s="4">
        <f>IFERROR(VLOOKUP(A30,'درآمد سود سهام'!$A$8:$S$108,13,0),0)</f>
        <v>0</v>
      </c>
      <c r="D30" s="4"/>
      <c r="E30" s="4">
        <f>IFERROR(VLOOKUP(A30,'درآمد ناشی از تغییر قیمت  '!$A$7:$Q$104,9,0),0)</f>
        <v>0</v>
      </c>
      <c r="F30" s="4"/>
      <c r="G30" s="4">
        <f>IFERROR(VLOOKUP(A30,'درآمد ناشی ازفروش'!$A$7:$I$112,9,0),0)</f>
        <v>0</v>
      </c>
      <c r="H30" s="4"/>
      <c r="I30" s="4">
        <f t="shared" si="0"/>
        <v>0</v>
      </c>
      <c r="K30" s="126">
        <f t="shared" si="1"/>
        <v>0</v>
      </c>
      <c r="M30" s="4">
        <f>IFERROR(VLOOKUP(A30,'درآمد سود سهام'!$A$8:$S$108,19,0),0)</f>
        <v>0</v>
      </c>
      <c r="N30" s="4"/>
      <c r="O30" s="4">
        <f>IFERROR(VLOOKUP(A30,'درآمد ناشی از تغییر قیمت  '!$A$7:$Q$104,17,0),0)</f>
        <v>0</v>
      </c>
      <c r="P30" s="4"/>
      <c r="Q30" s="4">
        <f>IFERROR(VLOOKUP(A30,'درآمد ناشی ازفروش'!$A$7:$Q$112,17,0),0)</f>
        <v>-7895697</v>
      </c>
      <c r="R30" s="4"/>
      <c r="S30" s="4">
        <f t="shared" si="2"/>
        <v>-7895697</v>
      </c>
      <c r="T30" s="148"/>
      <c r="U30" s="53">
        <f>S30/درآمدها!$J$4</f>
        <v>-3.796399799276621E-4</v>
      </c>
      <c r="V30" s="149"/>
      <c r="W30" s="149"/>
      <c r="X30" s="149"/>
      <c r="Y30" s="149"/>
      <c r="Z30" s="149"/>
      <c r="AA30" s="149"/>
      <c r="AB30" s="149"/>
      <c r="AC30" s="149"/>
    </row>
    <row r="31" spans="1:30" s="143" customFormat="1" ht="33">
      <c r="A31" s="283" t="s">
        <v>110</v>
      </c>
      <c r="C31" s="4">
        <f>IFERROR(VLOOKUP(A31,'درآمد سود سهام'!$A$8:$S$108,13,0),0)</f>
        <v>0</v>
      </c>
      <c r="D31" s="4"/>
      <c r="E31" s="4">
        <f>IFERROR(VLOOKUP(A31,'درآمد ناشی از تغییر قیمت  '!$A$7:$Q$104,9,0),0)</f>
        <v>100694684</v>
      </c>
      <c r="F31" s="4"/>
      <c r="G31" s="4">
        <f>IFERROR(VLOOKUP(A31,'درآمد ناشی ازفروش'!$A$7:$I$112,9,0),0)</f>
        <v>0</v>
      </c>
      <c r="H31" s="4"/>
      <c r="I31" s="4">
        <f t="shared" si="0"/>
        <v>100694684</v>
      </c>
      <c r="K31" s="126">
        <f t="shared" si="1"/>
        <v>1.4322742028098247E-2</v>
      </c>
      <c r="M31" s="4">
        <f>IFERROR(VLOOKUP(A31,'درآمد سود سهام'!$A$8:$S$108,19,0),0)</f>
        <v>357917480</v>
      </c>
      <c r="N31" s="4"/>
      <c r="O31" s="4">
        <f>IFERROR(VLOOKUP(A31,'درآمد ناشی از تغییر قیمت  '!$A$7:$Q$104,17,0),0)</f>
        <v>8527972</v>
      </c>
      <c r="P31" s="4"/>
      <c r="Q31" s="4">
        <f>IFERROR(VLOOKUP(A31,'درآمد ناشی ازفروش'!$A$7:$Q$112,17,0),0)</f>
        <v>261940668</v>
      </c>
      <c r="R31" s="4"/>
      <c r="S31" s="4">
        <f t="shared" si="2"/>
        <v>628386120</v>
      </c>
      <c r="T31" s="148"/>
      <c r="U31" s="53">
        <f>S31/درآمدها!$J$4</f>
        <v>3.0213987946044719E-2</v>
      </c>
      <c r="V31" s="149"/>
      <c r="W31" s="284"/>
      <c r="X31" s="284"/>
      <c r="Z31" s="41"/>
      <c r="AA31" s="149"/>
      <c r="AB31" s="149"/>
      <c r="AC31" s="149"/>
    </row>
    <row r="32" spans="1:30" s="143" customFormat="1" ht="33">
      <c r="A32" s="283" t="s">
        <v>122</v>
      </c>
      <c r="C32" s="4">
        <f>IFERROR(VLOOKUP(A32,'درآمد سود سهام'!$A$8:$S$108,13,0),0)</f>
        <v>0</v>
      </c>
      <c r="D32" s="4"/>
      <c r="E32" s="4">
        <f>IFERROR(VLOOKUP(A32,'درآمد ناشی از تغییر قیمت  '!$A$7:$Q$104,9,0),0)</f>
        <v>0</v>
      </c>
      <c r="F32" s="4"/>
      <c r="G32" s="4">
        <f>IFERROR(VLOOKUP(A32,'درآمد ناشی ازفروش'!$A$7:$I$112,9,0),0)</f>
        <v>0</v>
      </c>
      <c r="H32" s="4"/>
      <c r="I32" s="4">
        <f t="shared" si="0"/>
        <v>0</v>
      </c>
      <c r="K32" s="126">
        <f t="shared" si="1"/>
        <v>0</v>
      </c>
      <c r="M32" s="4">
        <f>IFERROR(VLOOKUP(A32,'درآمد سود سهام'!$A$8:$S$108,19,0),0)</f>
        <v>541506761</v>
      </c>
      <c r="N32" s="4"/>
      <c r="O32" s="4">
        <f>IFERROR(VLOOKUP(A32,'درآمد ناشی از تغییر قیمت  '!$A$7:$Q$104,17,0),0)</f>
        <v>0</v>
      </c>
      <c r="P32" s="4"/>
      <c r="Q32" s="4">
        <f>IFERROR(VLOOKUP(A32,'درآمد ناشی ازفروش'!$A$7:$Q$112,17,0),0)</f>
        <v>2103361053</v>
      </c>
      <c r="R32" s="4"/>
      <c r="S32" s="4">
        <f t="shared" si="2"/>
        <v>2644867814</v>
      </c>
      <c r="T32" s="148"/>
      <c r="U32" s="53">
        <f>S32/درآمدها!$J$4</f>
        <v>0.1271702249742207</v>
      </c>
      <c r="V32" s="149"/>
      <c r="W32" s="267"/>
      <c r="X32" s="267"/>
      <c r="Y32" s="284"/>
      <c r="Z32" s="41"/>
      <c r="AA32" s="149"/>
      <c r="AB32" s="149"/>
      <c r="AC32" s="149"/>
    </row>
    <row r="33" spans="1:29" s="143" customFormat="1" ht="61.5">
      <c r="A33" s="283" t="s">
        <v>101</v>
      </c>
      <c r="C33" s="4">
        <f>IFERROR(VLOOKUP(A33,'درآمد سود سهام'!$A$8:$S$108,13,0),0)</f>
        <v>0</v>
      </c>
      <c r="D33" s="4"/>
      <c r="E33" s="4">
        <f>IFERROR(VLOOKUP(A33,'درآمد ناشی از تغییر قیمت  '!$A$7:$Q$104,9,0),0)</f>
        <v>0</v>
      </c>
      <c r="F33" s="4"/>
      <c r="G33" s="4">
        <f>IFERROR(VLOOKUP(A33,'درآمد ناشی ازفروش'!$A$7:$I$112,9,0),0)</f>
        <v>0</v>
      </c>
      <c r="H33" s="4"/>
      <c r="I33" s="4">
        <f t="shared" si="0"/>
        <v>0</v>
      </c>
      <c r="K33" s="126">
        <f t="shared" si="1"/>
        <v>0</v>
      </c>
      <c r="M33" s="4">
        <f>IFERROR(VLOOKUP(A33,'درآمد سود سهام'!$A$8:$S$108,19,0),0)</f>
        <v>0</v>
      </c>
      <c r="N33" s="4"/>
      <c r="O33" s="4">
        <f>IFERROR(VLOOKUP(A33,'درآمد ناشی از تغییر قیمت  '!$A$7:$Q$104,17,0),0)</f>
        <v>0</v>
      </c>
      <c r="P33" s="4"/>
      <c r="Q33" s="4">
        <f>IFERROR(VLOOKUP(A33,'درآمد ناشی ازفروش'!$A$7:$Q$112,17,0),0)</f>
        <v>235633818</v>
      </c>
      <c r="R33" s="4"/>
      <c r="S33" s="4">
        <f t="shared" si="2"/>
        <v>235633818</v>
      </c>
      <c r="T33" s="148"/>
      <c r="U33" s="53">
        <f>S33/درآمدها!$J$4</f>
        <v>1.1329717684936286E-2</v>
      </c>
      <c r="V33" s="149"/>
      <c r="W33" s="41"/>
      <c r="X33" s="41"/>
      <c r="Y33" s="267"/>
      <c r="Z33" s="41"/>
      <c r="AA33" s="149"/>
      <c r="AB33" s="149"/>
      <c r="AC33" s="149"/>
    </row>
    <row r="34" spans="1:29" s="143" customFormat="1" ht="33">
      <c r="A34" s="283" t="s">
        <v>100</v>
      </c>
      <c r="C34" s="4">
        <f>IFERROR(VLOOKUP(A34,'درآمد سود سهام'!$A$8:$S$108,13,0),0)</f>
        <v>0</v>
      </c>
      <c r="D34" s="4"/>
      <c r="E34" s="4">
        <f>IFERROR(VLOOKUP(A34,'درآمد ناشی از تغییر قیمت  '!$A$7:$Q$104,9,0),0)</f>
        <v>0</v>
      </c>
      <c r="F34" s="4"/>
      <c r="G34" s="4">
        <f>IFERROR(VLOOKUP(A34,'درآمد ناشی ازفروش'!$A$7:$I$112,9,0),0)</f>
        <v>0</v>
      </c>
      <c r="H34" s="4"/>
      <c r="I34" s="4">
        <f t="shared" si="0"/>
        <v>0</v>
      </c>
      <c r="K34" s="126">
        <f t="shared" si="1"/>
        <v>0</v>
      </c>
      <c r="M34" s="4">
        <f>IFERROR(VLOOKUP(A34,'درآمد سود سهام'!$A$8:$S$108,19,0),0)</f>
        <v>0</v>
      </c>
      <c r="N34" s="4"/>
      <c r="O34" s="4">
        <f>IFERROR(VLOOKUP(A34,'درآمد ناشی از تغییر قیمت  '!$A$7:$Q$104,17,0),0)</f>
        <v>0</v>
      </c>
      <c r="P34" s="4"/>
      <c r="Q34" s="4">
        <f>IFERROR(VLOOKUP(A34,'درآمد ناشی ازفروش'!$A$7:$Q$112,17,0),0)</f>
        <v>4819534338</v>
      </c>
      <c r="R34" s="4"/>
      <c r="S34" s="4">
        <f t="shared" si="2"/>
        <v>4819534338</v>
      </c>
      <c r="T34" s="148"/>
      <c r="U34" s="53">
        <f>S34/درآمدها!$J$4</f>
        <v>0.23173228650225536</v>
      </c>
      <c r="V34" s="149"/>
      <c r="W34" s="41"/>
      <c r="X34" s="41"/>
      <c r="Y34" s="41"/>
      <c r="Z34" s="41"/>
      <c r="AA34" s="149"/>
      <c r="AB34" s="149"/>
      <c r="AC34" s="149"/>
    </row>
    <row r="35" spans="1:29" s="143" customFormat="1" ht="33">
      <c r="A35" s="283" t="s">
        <v>125</v>
      </c>
      <c r="C35" s="4">
        <f>IFERROR(VLOOKUP(A35,'درآمد سود سهام'!$A$8:$S$108,13,0),0)</f>
        <v>0</v>
      </c>
      <c r="D35" s="4"/>
      <c r="E35" s="4">
        <f>IFERROR(VLOOKUP(A35,'درآمد ناشی از تغییر قیمت  '!$A$7:$Q$104,9,0),0)</f>
        <v>244710259</v>
      </c>
      <c r="F35" s="4"/>
      <c r="G35" s="4">
        <f>IFERROR(VLOOKUP(A35,'درآمد ناشی ازفروش'!$A$7:$I$112,9,0),0)</f>
        <v>0</v>
      </c>
      <c r="H35" s="4"/>
      <c r="I35" s="4">
        <f t="shared" si="0"/>
        <v>244710259</v>
      </c>
      <c r="K35" s="126">
        <f t="shared" si="1"/>
        <v>3.4807417552311967E-2</v>
      </c>
      <c r="M35" s="4">
        <f>IFERROR(VLOOKUP(A35,'درآمد سود سهام'!$A$8:$S$108,19,0),0)</f>
        <v>772875000</v>
      </c>
      <c r="N35" s="4"/>
      <c r="O35" s="4">
        <f>IFERROR(VLOOKUP(A35,'درآمد ناشی از تغییر قیمت  '!$A$7:$Q$104,17,0),0)</f>
        <v>-1110340043</v>
      </c>
      <c r="P35" s="4"/>
      <c r="Q35" s="4">
        <f>IFERROR(VLOOKUP(A35,'درآمد ناشی ازفروش'!$A$7:$Q$112,17,0),0)</f>
        <v>1633295555</v>
      </c>
      <c r="R35" s="4"/>
      <c r="S35" s="4">
        <f t="shared" si="2"/>
        <v>1295830512</v>
      </c>
      <c r="T35" s="148"/>
      <c r="U35" s="53">
        <f>S35/درآمدها!$J$4</f>
        <v>6.2305971159396324E-2</v>
      </c>
      <c r="V35" s="149"/>
      <c r="W35" s="41"/>
      <c r="X35" s="41"/>
      <c r="Y35" s="41"/>
      <c r="Z35" s="41"/>
      <c r="AA35" s="149"/>
      <c r="AB35" s="149"/>
      <c r="AC35" s="149"/>
    </row>
    <row r="36" spans="1:29" s="143" customFormat="1" ht="33">
      <c r="A36" s="283" t="s">
        <v>126</v>
      </c>
      <c r="C36" s="4">
        <f>IFERROR(VLOOKUP(A36,'درآمد سود سهام'!$A$8:$S$108,13,0),0)</f>
        <v>46764894</v>
      </c>
      <c r="D36" s="4"/>
      <c r="E36" s="4">
        <f>IFERROR(VLOOKUP(A36,'درآمد ناشی از تغییر قیمت  '!$A$7:$Q$104,9,0),0)</f>
        <v>43738200</v>
      </c>
      <c r="F36" s="4"/>
      <c r="G36" s="4">
        <f>IFERROR(VLOOKUP(A36,'درآمد ناشی ازفروش'!$A$7:$I$112,9,0),0)</f>
        <v>0</v>
      </c>
      <c r="H36" s="4"/>
      <c r="I36" s="4">
        <f t="shared" si="0"/>
        <v>90503094</v>
      </c>
      <c r="K36" s="126">
        <f t="shared" si="1"/>
        <v>1.287309733358641E-2</v>
      </c>
      <c r="M36" s="4">
        <f>IFERROR(VLOOKUP(A36,'درآمد سود سهام'!$A$8:$S$108,19,0),0)</f>
        <v>46764894</v>
      </c>
      <c r="N36" s="4"/>
      <c r="O36" s="4">
        <f>IFERROR(VLOOKUP(A36,'درآمد ناشی از تغییر قیمت  '!$A$7:$Q$104,17,0),0)</f>
        <v>366148980</v>
      </c>
      <c r="P36" s="4"/>
      <c r="Q36" s="4">
        <f>IFERROR(VLOOKUP(A36,'درآمد ناشی ازفروش'!$A$7:$Q$112,17,0),0)</f>
        <v>710090322</v>
      </c>
      <c r="R36" s="4"/>
      <c r="S36" s="4">
        <f t="shared" si="2"/>
        <v>1123004196</v>
      </c>
      <c r="T36" s="148"/>
      <c r="U36" s="53">
        <f>S36/درآمدها!$J$4</f>
        <v>5.3996156441682132E-2</v>
      </c>
      <c r="V36" s="149"/>
      <c r="W36" s="41"/>
      <c r="X36" s="41"/>
      <c r="Y36" s="41"/>
      <c r="Z36" s="41"/>
      <c r="AA36" s="284"/>
      <c r="AB36" s="149"/>
      <c r="AC36" s="149"/>
    </row>
    <row r="37" spans="1:29" s="143" customFormat="1" ht="33">
      <c r="A37" s="283" t="s">
        <v>141</v>
      </c>
      <c r="C37" s="4">
        <f>IFERROR(VLOOKUP(A37,'درآمد سود سهام'!$A$8:$S$108,13,0),0)</f>
        <v>0</v>
      </c>
      <c r="D37" s="4"/>
      <c r="E37" s="4">
        <f>IFERROR(VLOOKUP(A37,'درآمد ناشی از تغییر قیمت  '!$A$7:$Q$104,9,0),0)</f>
        <v>2034853480</v>
      </c>
      <c r="F37" s="4"/>
      <c r="G37" s="4">
        <f>IFERROR(VLOOKUP(A37,'درآمد ناشی ازفروش'!$A$7:$I$112,9,0),0)</f>
        <v>167183768</v>
      </c>
      <c r="H37" s="4"/>
      <c r="I37" s="4">
        <f t="shared" si="0"/>
        <v>2202037248</v>
      </c>
      <c r="K37" s="126">
        <f t="shared" si="1"/>
        <v>0.31321625121111063</v>
      </c>
      <c r="M37" s="4">
        <f>IFERROR(VLOOKUP(A37,'درآمد سود سهام'!$A$8:$S$108,19,0),0)</f>
        <v>1805738786</v>
      </c>
      <c r="N37" s="4"/>
      <c r="O37" s="4">
        <f>IFERROR(VLOOKUP(A37,'درآمد ناشی از تغییر قیمت  '!$A$7:$Q$104,17,0),0)</f>
        <v>903891544</v>
      </c>
      <c r="P37" s="4"/>
      <c r="Q37" s="4">
        <f>IFERROR(VLOOKUP(A37,'درآمد ناشی ازفروش'!$A$7:$Q$112,17,0),0)</f>
        <v>167183768</v>
      </c>
      <c r="R37" s="4"/>
      <c r="S37" s="4">
        <f t="shared" si="2"/>
        <v>2876814098</v>
      </c>
      <c r="T37" s="148"/>
      <c r="U37" s="53">
        <f>S37/درآمدها!$J$4</f>
        <v>0.13832263908054415</v>
      </c>
      <c r="V37" s="149"/>
      <c r="W37" s="41"/>
      <c r="X37" s="41"/>
      <c r="Y37" s="41"/>
      <c r="Z37" s="41"/>
      <c r="AA37" s="267"/>
      <c r="AB37" s="149"/>
      <c r="AC37" s="149"/>
    </row>
    <row r="38" spans="1:29" s="143" customFormat="1" ht="33">
      <c r="A38" s="283" t="s">
        <v>151</v>
      </c>
      <c r="C38" s="4">
        <f>IFERROR(VLOOKUP(A38,'درآمد سود سهام'!$A$8:$S$108,13,0),0)</f>
        <v>0</v>
      </c>
      <c r="D38" s="4"/>
      <c r="E38" s="4">
        <f>IFERROR(VLOOKUP(A38,'درآمد ناشی از تغییر قیمت  '!$A$7:$Q$104,9,0),0)</f>
        <v>0</v>
      </c>
      <c r="F38" s="4"/>
      <c r="G38" s="4">
        <f>IFERROR(VLOOKUP(A38,'درآمد ناشی ازفروش'!$A$7:$I$112,9,0),0)</f>
        <v>0</v>
      </c>
      <c r="H38" s="4"/>
      <c r="I38" s="4">
        <f t="shared" si="0"/>
        <v>0</v>
      </c>
      <c r="K38" s="126">
        <f t="shared" si="1"/>
        <v>0</v>
      </c>
      <c r="M38" s="4">
        <f>IFERROR(VLOOKUP(A38,'درآمد سود سهام'!$A$8:$S$108,19,0),0)</f>
        <v>0</v>
      </c>
      <c r="N38" s="4"/>
      <c r="O38" s="4">
        <f>IFERROR(VLOOKUP(A38,'درآمد ناشی از تغییر قیمت  '!$A$7:$Q$104,17,0),0)</f>
        <v>0</v>
      </c>
      <c r="P38" s="4"/>
      <c r="Q38" s="4">
        <f>IFERROR(VLOOKUP(A38,'درآمد ناشی ازفروش'!$A$7:$Q$112,17,0),0)</f>
        <v>-126126493</v>
      </c>
      <c r="R38" s="4"/>
      <c r="S38" s="4">
        <f t="shared" si="2"/>
        <v>-126126493</v>
      </c>
      <c r="T38" s="148"/>
      <c r="U38" s="53">
        <f>S38/درآمدها!$J$4</f>
        <v>-6.064399288734916E-3</v>
      </c>
      <c r="V38" s="149"/>
      <c r="W38" s="41"/>
      <c r="X38" s="41"/>
      <c r="Y38" s="41"/>
      <c r="Z38" s="41"/>
      <c r="AA38" s="41"/>
      <c r="AB38" s="284"/>
      <c r="AC38" s="284"/>
    </row>
    <row r="39" spans="1:29" s="284" customFormat="1" ht="25.5" customHeight="1" thickBot="1">
      <c r="C39" s="116">
        <f>SUM(C11:C38)</f>
        <v>1985621446</v>
      </c>
      <c r="D39" s="70">
        <v>0</v>
      </c>
      <c r="E39" s="116">
        <f>SUM(E11:E38)</f>
        <v>4461139711</v>
      </c>
      <c r="F39" s="70">
        <v>0</v>
      </c>
      <c r="G39" s="116">
        <f>SUM(G11:G38)</f>
        <v>30709465</v>
      </c>
      <c r="H39" s="70">
        <v>0</v>
      </c>
      <c r="I39" s="116">
        <f>SUM(I11:I38)</f>
        <v>6477470622</v>
      </c>
      <c r="J39" s="285">
        <v>0</v>
      </c>
      <c r="K39" s="71">
        <f>SUM(K11:K38)</f>
        <v>0.92135092964283094</v>
      </c>
      <c r="M39" s="116">
        <f>SUM(M11:M38)</f>
        <v>6527751115</v>
      </c>
      <c r="N39" s="70"/>
      <c r="O39" s="116">
        <f>SUM(O11:O38)</f>
        <v>-2962864485</v>
      </c>
      <c r="P39" s="70"/>
      <c r="Q39" s="116">
        <f>SUM(Q11:Q38)</f>
        <v>12296216478</v>
      </c>
      <c r="R39" s="70"/>
      <c r="S39" s="116">
        <f>SUM(S11:S38)</f>
        <v>15861103108</v>
      </c>
      <c r="T39" s="285"/>
      <c r="U39" s="71">
        <f>SUM(U11:U38)</f>
        <v>0.7626317050352488</v>
      </c>
      <c r="W39" s="41"/>
      <c r="X39" s="41"/>
      <c r="Y39" s="41"/>
      <c r="Z39" s="41"/>
      <c r="AA39" s="41"/>
      <c r="AB39" s="267"/>
      <c r="AC39" s="267"/>
    </row>
    <row r="40" spans="1:29" ht="25.5" customHeight="1" thickTop="1">
      <c r="D40" s="4">
        <v>0</v>
      </c>
      <c r="F40" s="4">
        <v>0</v>
      </c>
      <c r="H40" s="4">
        <v>0</v>
      </c>
      <c r="J40" s="148">
        <v>0</v>
      </c>
      <c r="L40" s="143"/>
      <c r="N40" s="4"/>
      <c r="O40" s="286"/>
      <c r="P40" s="4"/>
      <c r="Q40" s="286"/>
      <c r="R40" s="4"/>
      <c r="S40" s="286"/>
      <c r="T40" s="286"/>
      <c r="W40" s="41"/>
      <c r="X40" s="41"/>
      <c r="Y40" s="41"/>
      <c r="AA40" s="41"/>
      <c r="AB40" s="41"/>
      <c r="AC40" s="41"/>
    </row>
    <row r="41" spans="1:29" s="41" customFormat="1" ht="33">
      <c r="Z41" s="267"/>
    </row>
    <row r="42" spans="1:29" s="41" customFormat="1" ht="33">
      <c r="W42" s="267"/>
      <c r="X42" s="267"/>
      <c r="Z42" s="267"/>
    </row>
    <row r="43" spans="1:29" s="41" customFormat="1" ht="33">
      <c r="W43" s="267"/>
      <c r="X43" s="267"/>
      <c r="Y43" s="267"/>
      <c r="Z43" s="267"/>
    </row>
    <row r="44" spans="1:29" s="41" customFormat="1" ht="33">
      <c r="W44" s="267"/>
      <c r="X44" s="267"/>
      <c r="Y44" s="267"/>
      <c r="Z44" s="267"/>
    </row>
    <row r="45" spans="1:29" s="41" customFormat="1" ht="33">
      <c r="W45" s="267"/>
      <c r="X45" s="267"/>
      <c r="Y45" s="267"/>
      <c r="Z45" s="267"/>
    </row>
    <row r="46" spans="1:29" s="41" customFormat="1" ht="33">
      <c r="W46" s="267"/>
      <c r="X46" s="267"/>
      <c r="Y46" s="267"/>
      <c r="Z46" s="267"/>
    </row>
    <row r="47" spans="1:29" s="41" customFormat="1" ht="33">
      <c r="W47" s="267"/>
      <c r="X47" s="267"/>
      <c r="Y47" s="267"/>
      <c r="Z47" s="267"/>
      <c r="AA47" s="267"/>
    </row>
    <row r="48" spans="1:29" s="41" customFormat="1" ht="33">
      <c r="W48" s="267"/>
      <c r="X48" s="267"/>
      <c r="Y48" s="267"/>
      <c r="Z48" s="267"/>
      <c r="AA48" s="267"/>
    </row>
    <row r="49" spans="23:29" s="41" customFormat="1" ht="33">
      <c r="W49" s="267"/>
      <c r="X49" s="267"/>
      <c r="Y49" s="267"/>
      <c r="Z49" s="267"/>
      <c r="AA49" s="267"/>
      <c r="AB49" s="267"/>
      <c r="AC49" s="267"/>
    </row>
  </sheetData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  <pageSetUpPr fitToPage="1"/>
  </sheetPr>
  <dimension ref="A1:Q22"/>
  <sheetViews>
    <sheetView rightToLeft="1" view="pageBreakPreview" zoomScaleNormal="100" zoomScaleSheetLayoutView="100" workbookViewId="0">
      <selection activeCell="G10" sqref="G10"/>
    </sheetView>
  </sheetViews>
  <sheetFormatPr defaultColWidth="9.140625" defaultRowHeight="21.75"/>
  <cols>
    <col min="1" max="1" width="32.5703125" style="153" customWidth="1"/>
    <col min="2" max="2" width="0.42578125" style="153" customWidth="1"/>
    <col min="3" max="3" width="17.5703125" style="153" bestFit="1" customWidth="1"/>
    <col min="4" max="4" width="0.7109375" style="153" customWidth="1"/>
    <col min="5" max="5" width="20.140625" style="153" bestFit="1" customWidth="1"/>
    <col min="6" max="6" width="0.5703125" style="153" customWidth="1"/>
    <col min="7" max="7" width="18.85546875" style="153" bestFit="1" customWidth="1"/>
    <col min="8" max="8" width="0.5703125" style="153" customWidth="1"/>
    <col min="9" max="9" width="19.5703125" style="153" bestFit="1" customWidth="1"/>
    <col min="10" max="10" width="0.42578125" style="153" customWidth="1"/>
    <col min="11" max="11" width="17.5703125" style="153" bestFit="1" customWidth="1"/>
    <col min="12" max="12" width="0.5703125" style="153" customWidth="1"/>
    <col min="13" max="13" width="20.140625" style="153" bestFit="1" customWidth="1"/>
    <col min="14" max="14" width="0.85546875" style="153" customWidth="1"/>
    <col min="15" max="15" width="19.28515625" style="153" bestFit="1" customWidth="1"/>
    <col min="16" max="16" width="0.5703125" style="153" customWidth="1"/>
    <col min="17" max="17" width="20.140625" style="153" bestFit="1" customWidth="1"/>
    <col min="18" max="18" width="9.140625" style="153"/>
    <col min="19" max="19" width="13.7109375" style="153" bestFit="1" customWidth="1"/>
    <col min="20" max="16384" width="9.140625" style="153"/>
  </cols>
  <sheetData>
    <row r="1" spans="1:17" ht="21" customHeight="1">
      <c r="A1" s="288" t="s">
        <v>87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8" customHeight="1">
      <c r="A2" s="288" t="s">
        <v>52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</row>
    <row r="3" spans="1:17" ht="19.5" customHeight="1">
      <c r="A3" s="288" t="str">
        <f>' سهام'!A3:W3</f>
        <v>برای ماه منتهی به 1403/04/31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</row>
    <row r="4" spans="1:17">
      <c r="A4" s="230" t="s">
        <v>26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7" ht="4.5" customHeight="1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</row>
    <row r="6" spans="1:17" ht="22.5" customHeight="1" thickBot="1">
      <c r="A6" s="289"/>
      <c r="B6" s="290"/>
      <c r="C6" s="288" t="str">
        <f>'درآمد سرمایه گذاری در سهام '!C7</f>
        <v>طی تیر ماه</v>
      </c>
      <c r="D6" s="288"/>
      <c r="E6" s="288"/>
      <c r="F6" s="288"/>
      <c r="G6" s="288"/>
      <c r="H6" s="288"/>
      <c r="I6" s="288"/>
      <c r="J6" s="171"/>
      <c r="K6" s="291" t="str">
        <f>'درآمد سرمایه گذاری در سهام '!M7</f>
        <v>از ابتدای سال مالی تا پایان تیر ماه</v>
      </c>
      <c r="L6" s="291"/>
      <c r="M6" s="291"/>
      <c r="N6" s="291"/>
      <c r="O6" s="291"/>
      <c r="P6" s="291"/>
      <c r="Q6" s="291"/>
    </row>
    <row r="7" spans="1:17" ht="15.75" customHeight="1">
      <c r="A7" s="292"/>
      <c r="B7" s="293"/>
      <c r="C7" s="294" t="s">
        <v>12</v>
      </c>
      <c r="D7" s="294"/>
      <c r="E7" s="294" t="s">
        <v>10</v>
      </c>
      <c r="F7" s="228"/>
      <c r="G7" s="294" t="s">
        <v>11</v>
      </c>
      <c r="H7" s="292"/>
      <c r="I7" s="294" t="s">
        <v>2</v>
      </c>
      <c r="J7" s="295"/>
      <c r="K7" s="294" t="s">
        <v>12</v>
      </c>
      <c r="L7" s="294"/>
      <c r="M7" s="294" t="s">
        <v>10</v>
      </c>
      <c r="N7" s="228"/>
      <c r="O7" s="294" t="s">
        <v>11</v>
      </c>
      <c r="P7" s="292"/>
      <c r="Q7" s="294" t="s">
        <v>2</v>
      </c>
    </row>
    <row r="8" spans="1:17" ht="12" customHeight="1">
      <c r="A8" s="293"/>
      <c r="B8" s="293"/>
      <c r="C8" s="296"/>
      <c r="D8" s="296"/>
      <c r="E8" s="296"/>
      <c r="F8" s="297"/>
      <c r="G8" s="296"/>
      <c r="H8" s="293"/>
      <c r="I8" s="296"/>
      <c r="J8" s="295"/>
      <c r="K8" s="296"/>
      <c r="L8" s="296"/>
      <c r="M8" s="296"/>
      <c r="N8" s="297"/>
      <c r="O8" s="296"/>
      <c r="P8" s="293"/>
      <c r="Q8" s="296"/>
    </row>
    <row r="9" spans="1:17" ht="14.25" customHeight="1" thickBot="1">
      <c r="A9" s="293"/>
      <c r="B9" s="293"/>
      <c r="C9" s="298" t="s">
        <v>62</v>
      </c>
      <c r="D9" s="296"/>
      <c r="E9" s="298" t="s">
        <v>57</v>
      </c>
      <c r="F9" s="297"/>
      <c r="G9" s="298" t="s">
        <v>58</v>
      </c>
      <c r="H9" s="293"/>
      <c r="I9" s="299"/>
      <c r="J9" s="300"/>
      <c r="K9" s="298" t="s">
        <v>62</v>
      </c>
      <c r="L9" s="296"/>
      <c r="M9" s="298" t="s">
        <v>57</v>
      </c>
      <c r="N9" s="297"/>
      <c r="O9" s="298" t="s">
        <v>58</v>
      </c>
      <c r="P9" s="293"/>
      <c r="Q9" s="299"/>
    </row>
    <row r="10" spans="1:17" ht="21" customHeight="1">
      <c r="A10" s="174" t="s">
        <v>112</v>
      </c>
      <c r="B10" s="301"/>
      <c r="C10" s="32">
        <f>IFERROR(VLOOKUP(A10,'سود اوراق بهادار'!$A$8:$R$50,6,0),0)</f>
        <v>0</v>
      </c>
      <c r="D10" s="16"/>
      <c r="E10" s="32">
        <f>IFERROR(VLOOKUP(A10,'درآمد ناشی از تغییر قیمت  '!$A$7:$Q$104,9,0),0)</f>
        <v>168437609</v>
      </c>
      <c r="F10" s="16"/>
      <c r="G10" s="32">
        <f>IFERROR(VLOOKUP(A10,'درآمد ناشی ازفروش'!$A$7:$I$112,9,0),0)</f>
        <v>30619906</v>
      </c>
      <c r="H10" s="16"/>
      <c r="I10" s="32">
        <f>C10+E10+G10</f>
        <v>199057515</v>
      </c>
      <c r="J10" s="16"/>
      <c r="K10" s="32">
        <f>IFERROR(VLOOKUP(A10,'سود اوراق بهادار'!$A$8:$R$50,12,0),0)</f>
        <v>0</v>
      </c>
      <c r="L10" s="16"/>
      <c r="M10" s="32">
        <f>IFERROR(VLOOKUP(A10,'درآمد ناشی از تغییر قیمت  '!$A$7:$Q$104,17,0),0)</f>
        <v>1061512625</v>
      </c>
      <c r="N10" s="16"/>
      <c r="O10" s="32">
        <f>IFERROR(VLOOKUP(A10,'درآمد ناشی ازفروش'!$A$7:$Q$112,17,0),0)</f>
        <v>133593300</v>
      </c>
      <c r="P10" s="16"/>
      <c r="Q10" s="32">
        <f>K10+M10+O10</f>
        <v>1195105925</v>
      </c>
    </row>
    <row r="11" spans="1:17" ht="21" customHeight="1">
      <c r="A11" s="174" t="s">
        <v>113</v>
      </c>
      <c r="B11" s="301"/>
      <c r="C11" s="32">
        <f>IFERROR(VLOOKUP(A11,'سود اوراق بهادار'!$A$8:$R$50,6,0),0)</f>
        <v>0</v>
      </c>
      <c r="D11" s="16"/>
      <c r="E11" s="32">
        <f>IFERROR(VLOOKUP(A11,'درآمد ناشی از تغییر قیمت  '!$A$7:$Q$104,9,0),0)</f>
        <v>0</v>
      </c>
      <c r="F11" s="16"/>
      <c r="G11" s="32">
        <f>IFERROR(VLOOKUP(A11,'درآمد ناشی ازفروش'!$A$7:$I$112,9,0),0)</f>
        <v>0</v>
      </c>
      <c r="H11" s="16"/>
      <c r="I11" s="32">
        <f t="shared" ref="I11:I14" si="0">C11+E11+G11</f>
        <v>0</v>
      </c>
      <c r="J11" s="16"/>
      <c r="K11" s="32">
        <f>IFERROR(VLOOKUP(A11,'سود اوراق بهادار'!$A$8:$R$50,12,0),0)</f>
        <v>0</v>
      </c>
      <c r="L11" s="16"/>
      <c r="M11" s="32">
        <f>IFERROR(VLOOKUP(A11,'درآمد ناشی از تغییر قیمت  '!$A$7:$Q$104,17,0),0)</f>
        <v>0</v>
      </c>
      <c r="N11" s="16"/>
      <c r="O11" s="32">
        <f>IFERROR(VLOOKUP(A11,'درآمد ناشی ازفروش'!$A$7:$Q$112,17,0),0)</f>
        <v>-114731808</v>
      </c>
      <c r="P11" s="16"/>
      <c r="Q11" s="32">
        <f t="shared" ref="Q11:Q14" si="1">K11+M11+O11</f>
        <v>-114731808</v>
      </c>
    </row>
    <row r="12" spans="1:17" ht="21" customHeight="1">
      <c r="A12" s="174" t="s">
        <v>108</v>
      </c>
      <c r="B12" s="301"/>
      <c r="C12" s="32">
        <f>IFERROR(VLOOKUP(A12,'سود اوراق بهادار'!$A$8:$R$50,6,0),0)</f>
        <v>0</v>
      </c>
      <c r="D12" s="16"/>
      <c r="E12" s="32">
        <f>IFERROR(VLOOKUP(A12,'درآمد ناشی از تغییر قیمت  '!$A$7:$Q$104,9,0),0)</f>
        <v>0</v>
      </c>
      <c r="F12" s="16"/>
      <c r="G12" s="32">
        <f>IFERROR(VLOOKUP(A12,'درآمد ناشی ازفروش'!$A$7:$I$112,9,0),0)</f>
        <v>0</v>
      </c>
      <c r="H12" s="16"/>
      <c r="I12" s="32">
        <f t="shared" si="0"/>
        <v>0</v>
      </c>
      <c r="J12" s="16"/>
      <c r="K12" s="32">
        <f>IFERROR(VLOOKUP(A12,'سود اوراق بهادار'!$A$8:$R$50,12,0),0)</f>
        <v>0</v>
      </c>
      <c r="L12" s="16"/>
      <c r="M12" s="32">
        <f>IFERROR(VLOOKUP(A12,'درآمد ناشی از تغییر قیمت  '!$A$7:$Q$104,17,0),0)</f>
        <v>0</v>
      </c>
      <c r="N12" s="16"/>
      <c r="O12" s="32">
        <f>IFERROR(VLOOKUP(A12,'درآمد ناشی ازفروش'!$A$7:$Q$112,17,0),0)</f>
        <v>137607570</v>
      </c>
      <c r="P12" s="16"/>
      <c r="Q12" s="32">
        <f t="shared" si="1"/>
        <v>137607570</v>
      </c>
    </row>
    <row r="13" spans="1:17" ht="21" customHeight="1">
      <c r="A13" s="174" t="s">
        <v>114</v>
      </c>
      <c r="B13" s="301"/>
      <c r="C13" s="32">
        <f>IFERROR(VLOOKUP(A13,'سود اوراق بهادار'!$A$8:$R$50,6,0),0)</f>
        <v>0</v>
      </c>
      <c r="D13" s="16"/>
      <c r="E13" s="32">
        <f>IFERROR(VLOOKUP(A13,'درآمد ناشی از تغییر قیمت  '!$A$7:$Q$104,9,0),0)</f>
        <v>50440840</v>
      </c>
      <c r="F13" s="16"/>
      <c r="G13" s="32">
        <f>IFERROR(VLOOKUP(A13,'درآمد ناشی ازفروش'!$A$7:$I$112,9,0),0)</f>
        <v>47778955</v>
      </c>
      <c r="H13" s="16"/>
      <c r="I13" s="32">
        <f t="shared" si="0"/>
        <v>98219795</v>
      </c>
      <c r="J13" s="16"/>
      <c r="K13" s="32">
        <f>IFERROR(VLOOKUP(A13,'سود اوراق بهادار'!$A$8:$R$50,12,0),0)</f>
        <v>0</v>
      </c>
      <c r="L13" s="16"/>
      <c r="M13" s="32">
        <f>IFERROR(VLOOKUP(A13,'درآمد ناشی از تغییر قیمت  '!$A$7:$Q$104,17,0),0)</f>
        <v>566141348</v>
      </c>
      <c r="N13" s="16"/>
      <c r="O13" s="32">
        <f>IFERROR(VLOOKUP(A13,'درآمد ناشی ازفروش'!$A$7:$Q$112,17,0),0)</f>
        <v>534146406</v>
      </c>
      <c r="P13" s="16"/>
      <c r="Q13" s="32">
        <f t="shared" si="1"/>
        <v>1100287754</v>
      </c>
    </row>
    <row r="14" spans="1:17" ht="21" customHeight="1">
      <c r="A14" s="174" t="s">
        <v>127</v>
      </c>
      <c r="B14" s="301"/>
      <c r="C14" s="32">
        <f>IFERROR(VLOOKUP(A14,'سود اوراق بهادار'!$A$8:$R$50,6,0),0)</f>
        <v>0</v>
      </c>
      <c r="D14" s="16"/>
      <c r="E14" s="32">
        <f>IFERROR(VLOOKUP(A14,'درآمد ناشی از تغییر قیمت  '!$A$7:$Q$104,9,0),0)</f>
        <v>84704644</v>
      </c>
      <c r="F14" s="16"/>
      <c r="G14" s="32">
        <f>IFERROR(VLOOKUP(A14,'درآمد ناشی ازفروش'!$A$7:$I$112,9,0),0)</f>
        <v>0</v>
      </c>
      <c r="H14" s="16"/>
      <c r="I14" s="32">
        <f t="shared" si="0"/>
        <v>84704644</v>
      </c>
      <c r="J14" s="16"/>
      <c r="K14" s="32">
        <f>IFERROR(VLOOKUP(A14,'سود اوراق بهادار'!$A$8:$R$50,12,0),0)</f>
        <v>0</v>
      </c>
      <c r="L14" s="16"/>
      <c r="M14" s="32">
        <f>IFERROR(VLOOKUP(A14,'درآمد ناشی از تغییر قیمت  '!$A$7:$Q$104,17,0),0)</f>
        <v>567185666</v>
      </c>
      <c r="N14" s="16"/>
      <c r="O14" s="32">
        <f>IFERROR(VLOOKUP(A14,'درآمد ناشی ازفروش'!$A$7:$Q$112,17,0),0)</f>
        <v>0</v>
      </c>
      <c r="P14" s="16"/>
      <c r="Q14" s="32">
        <f t="shared" si="1"/>
        <v>567185666</v>
      </c>
    </row>
    <row r="15" spans="1:17" ht="21" customHeight="1" thickBot="1">
      <c r="A15" s="302" t="s">
        <v>2</v>
      </c>
      <c r="B15" s="303"/>
      <c r="C15" s="77">
        <f>SUM(C10:C14)</f>
        <v>0</v>
      </c>
      <c r="D15" s="74">
        <f t="shared" ref="D15:P15" si="2">SUM(D10:D10)</f>
        <v>0</v>
      </c>
      <c r="E15" s="77">
        <f>SUM(E10:E14)</f>
        <v>303583093</v>
      </c>
      <c r="F15" s="74">
        <f t="shared" si="2"/>
        <v>0</v>
      </c>
      <c r="G15" s="77">
        <f>SUM(G10:G14)</f>
        <v>78398861</v>
      </c>
      <c r="H15" s="74">
        <f t="shared" si="2"/>
        <v>0</v>
      </c>
      <c r="I15" s="77">
        <f>SUM(I10:I14)</f>
        <v>381981954</v>
      </c>
      <c r="J15" s="74">
        <f t="shared" si="2"/>
        <v>0</v>
      </c>
      <c r="K15" s="77">
        <f>SUM(K10:K14)</f>
        <v>0</v>
      </c>
      <c r="L15" s="74">
        <f t="shared" si="2"/>
        <v>0</v>
      </c>
      <c r="M15" s="77">
        <f>SUM(M10:M14)</f>
        <v>2194839639</v>
      </c>
      <c r="N15" s="74">
        <f t="shared" si="2"/>
        <v>0</v>
      </c>
      <c r="O15" s="77">
        <f>SUM(O10:O14)</f>
        <v>690615468</v>
      </c>
      <c r="P15" s="74">
        <f t="shared" si="2"/>
        <v>0</v>
      </c>
      <c r="Q15" s="77">
        <f>SUM(Q10:Q14)</f>
        <v>2885455107</v>
      </c>
    </row>
    <row r="16" spans="1:17" ht="22.5" thickTop="1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</row>
    <row r="17" spans="15:17" s="16" customFormat="1"/>
    <row r="18" spans="15:17" s="16" customFormat="1"/>
    <row r="19" spans="15:17" s="16" customFormat="1"/>
    <row r="21" spans="15:17">
      <c r="O21" s="304"/>
      <c r="Q21" s="304"/>
    </row>
    <row r="22" spans="15:17">
      <c r="O22" s="305"/>
      <c r="Q22" s="305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  <pageSetUpPr fitToPage="1"/>
  </sheetPr>
  <dimension ref="A1:L16"/>
  <sheetViews>
    <sheetView rightToLeft="1" view="pageBreakPreview" zoomScaleNormal="100" zoomScaleSheetLayoutView="100" workbookViewId="0">
      <selection activeCell="I19" sqref="I19"/>
    </sheetView>
  </sheetViews>
  <sheetFormatPr defaultColWidth="9.140625" defaultRowHeight="21.75"/>
  <cols>
    <col min="1" max="1" width="35.85546875" style="153" bestFit="1" customWidth="1"/>
    <col min="2" max="2" width="0.7109375" style="153" customWidth="1"/>
    <col min="3" max="3" width="18.42578125" style="45" customWidth="1"/>
    <col min="4" max="4" width="1.42578125" style="45" customWidth="1"/>
    <col min="5" max="5" width="16.85546875" style="45" customWidth="1"/>
    <col min="6" max="6" width="1.42578125" style="45" customWidth="1"/>
    <col min="7" max="7" width="18" style="45" customWidth="1"/>
    <col min="8" max="8" width="1.28515625" style="153" customWidth="1"/>
    <col min="9" max="9" width="16.42578125" style="153" customWidth="1"/>
    <col min="10" max="10" width="0.7109375" style="153" customWidth="1"/>
    <col min="11" max="11" width="9.7109375" style="153" customWidth="1"/>
    <col min="12" max="12" width="15.42578125" style="153" bestFit="1" customWidth="1"/>
    <col min="13" max="16384" width="9.140625" style="153"/>
  </cols>
  <sheetData>
    <row r="1" spans="1:12" ht="22.5">
      <c r="A1" s="288" t="s">
        <v>87</v>
      </c>
      <c r="B1" s="288"/>
      <c r="C1" s="288"/>
      <c r="D1" s="288"/>
      <c r="E1" s="288"/>
      <c r="F1" s="288"/>
      <c r="G1" s="288"/>
      <c r="H1" s="288"/>
      <c r="I1" s="288"/>
      <c r="J1" s="288"/>
    </row>
    <row r="2" spans="1:12" ht="22.5">
      <c r="A2" s="288" t="s">
        <v>52</v>
      </c>
      <c r="B2" s="288"/>
      <c r="C2" s="288"/>
      <c r="D2" s="288"/>
      <c r="E2" s="288"/>
      <c r="F2" s="288"/>
      <c r="G2" s="288"/>
      <c r="H2" s="288"/>
      <c r="I2" s="288"/>
      <c r="J2" s="288"/>
    </row>
    <row r="3" spans="1:12" ht="22.5">
      <c r="A3" s="288" t="str">
        <f>' سهام'!A3:W3</f>
        <v>برای ماه منتهی به 1403/04/31</v>
      </c>
      <c r="B3" s="288"/>
      <c r="C3" s="288"/>
      <c r="D3" s="288"/>
      <c r="E3" s="288"/>
      <c r="F3" s="288"/>
      <c r="G3" s="288"/>
      <c r="H3" s="288"/>
      <c r="I3" s="288"/>
      <c r="J3" s="288"/>
    </row>
    <row r="4" spans="1:12">
      <c r="A4" s="230" t="s">
        <v>27</v>
      </c>
      <c r="B4" s="230"/>
      <c r="C4" s="230"/>
      <c r="D4" s="230"/>
      <c r="E4" s="230"/>
      <c r="F4" s="230"/>
      <c r="G4" s="230"/>
      <c r="H4" s="230"/>
      <c r="I4" s="230"/>
      <c r="J4" s="230"/>
    </row>
    <row r="5" spans="1:12" ht="22.5" thickBot="1">
      <c r="A5" s="169"/>
      <c r="B5" s="169"/>
      <c r="C5" s="11"/>
      <c r="D5" s="11"/>
      <c r="E5" s="11"/>
      <c r="F5" s="11"/>
      <c r="G5" s="11"/>
      <c r="H5" s="169"/>
      <c r="I5" s="169"/>
      <c r="J5" s="169"/>
    </row>
    <row r="6" spans="1:12" ht="37.5" customHeight="1" thickBot="1">
      <c r="A6" s="306" t="s">
        <v>17</v>
      </c>
      <c r="B6" s="306"/>
      <c r="C6" s="252" t="str">
        <f>'درآمد سرمایه گذاری در سهام '!C7</f>
        <v>طی تیر ماه</v>
      </c>
      <c r="D6" s="252"/>
      <c r="E6" s="252"/>
      <c r="F6" s="252"/>
      <c r="G6" s="306" t="str">
        <f>'درآمد سرمایه گذاری در سهام '!M7</f>
        <v>از ابتدای سال مالی تا پایان تیر ماه</v>
      </c>
      <c r="H6" s="306"/>
      <c r="I6" s="306"/>
      <c r="J6" s="306"/>
    </row>
    <row r="7" spans="1:12" ht="37.5">
      <c r="A7" s="307" t="s">
        <v>13</v>
      </c>
      <c r="B7" s="171"/>
      <c r="C7" s="42" t="s">
        <v>14</v>
      </c>
      <c r="D7" s="43"/>
      <c r="E7" s="42" t="s">
        <v>15</v>
      </c>
      <c r="F7" s="44"/>
      <c r="G7" s="42" t="s">
        <v>14</v>
      </c>
      <c r="H7" s="171"/>
      <c r="I7" s="307" t="s">
        <v>15</v>
      </c>
      <c r="J7" s="171"/>
    </row>
    <row r="8" spans="1:12" ht="33" customHeight="1">
      <c r="A8" s="308" t="s">
        <v>153</v>
      </c>
      <c r="B8" s="301"/>
      <c r="C8" s="12">
        <f>VLOOKUP(A8,'سود سپرده بانکی'!$A$7:$L$31,6,0)</f>
        <v>82133</v>
      </c>
      <c r="D8" s="301"/>
      <c r="E8" s="309">
        <f>C8/$C$11</f>
        <v>1.3925806460910911E-2</v>
      </c>
      <c r="F8" s="301"/>
      <c r="G8" s="12">
        <f>VLOOKUP(A8,'سود سپرده بانکی'!$A$7:$L$31,12,0)</f>
        <v>2164122</v>
      </c>
      <c r="H8" s="301"/>
      <c r="I8" s="309">
        <f>G8/$G$11</f>
        <v>7.0708064292172353E-3</v>
      </c>
      <c r="J8" s="171"/>
      <c r="K8" s="305"/>
      <c r="L8" s="305"/>
    </row>
    <row r="9" spans="1:12" ht="27" customHeight="1">
      <c r="A9" s="308" t="s">
        <v>96</v>
      </c>
      <c r="B9" s="301"/>
      <c r="C9" s="12">
        <f>VLOOKUP(A9,'سود سپرده بانکی'!$A$7:$L$31,6,0)</f>
        <v>1229465.4736842103</v>
      </c>
      <c r="D9" s="301"/>
      <c r="E9" s="309">
        <f t="shared" ref="E9:E10" si="0">C9/$C$11</f>
        <v>0.20845821091276917</v>
      </c>
      <c r="F9" s="301"/>
      <c r="G9" s="12">
        <f>VLOOKUP(A9,'سود سپرده بانکی'!$A$7:$L$31,12,0)</f>
        <v>64083136.368421078</v>
      </c>
      <c r="H9" s="301"/>
      <c r="I9" s="309">
        <f t="shared" ref="I9:I10" si="1">G9/$G$11</f>
        <v>0.20937796142649842</v>
      </c>
      <c r="J9" s="171"/>
      <c r="K9" s="305"/>
      <c r="L9" s="305"/>
    </row>
    <row r="10" spans="1:12" ht="27" customHeight="1" thickBot="1">
      <c r="A10" s="308" t="s">
        <v>142</v>
      </c>
      <c r="B10" s="301"/>
      <c r="C10" s="12">
        <f>VLOOKUP(A10,'سود سپرده بانکی'!$A$7:$L$31,6,0)</f>
        <v>4586300.5263157897</v>
      </c>
      <c r="D10" s="301"/>
      <c r="E10" s="309">
        <f t="shared" si="0"/>
        <v>0.77761598262631992</v>
      </c>
      <c r="F10" s="301"/>
      <c r="G10" s="12">
        <f>VLOOKUP(A10,'سود سپرده بانکی'!$A$7:$L$31,12,0)</f>
        <v>239817123.63157892</v>
      </c>
      <c r="H10" s="301"/>
      <c r="I10" s="309">
        <f t="shared" si="1"/>
        <v>0.78355123214428435</v>
      </c>
      <c r="J10" s="171"/>
      <c r="K10" s="305"/>
      <c r="L10" s="305"/>
    </row>
    <row r="11" spans="1:12" ht="22.5" thickBot="1">
      <c r="A11" s="302" t="s">
        <v>2</v>
      </c>
      <c r="B11" s="303"/>
      <c r="C11" s="68">
        <f>SUM(C8:C10)</f>
        <v>5897899</v>
      </c>
      <c r="D11" s="301"/>
      <c r="E11" s="72">
        <f>SUM(E8:E10)</f>
        <v>1</v>
      </c>
      <c r="F11" s="301"/>
      <c r="G11" s="68">
        <f>SUM(G8:G10)</f>
        <v>306064382</v>
      </c>
      <c r="H11" s="301"/>
      <c r="I11" s="72">
        <f>SUM(I8:I10)</f>
        <v>1</v>
      </c>
      <c r="J11" s="171"/>
    </row>
    <row r="12" spans="1:12" ht="22.5" thickTop="1">
      <c r="D12" s="301"/>
      <c r="F12" s="301"/>
      <c r="H12" s="301"/>
    </row>
    <row r="13" spans="1:12">
      <c r="C13" s="304"/>
      <c r="D13" s="153"/>
      <c r="E13" s="153"/>
      <c r="F13" s="153"/>
      <c r="G13" s="304"/>
    </row>
    <row r="14" spans="1:12">
      <c r="C14" s="12"/>
      <c r="D14" s="12"/>
      <c r="E14" s="12"/>
      <c r="F14" s="12"/>
      <c r="G14" s="12"/>
      <c r="H14" s="12"/>
      <c r="I14" s="12"/>
    </row>
    <row r="15" spans="1:12">
      <c r="C15" s="12"/>
      <c r="D15" s="12"/>
      <c r="E15" s="12"/>
      <c r="F15" s="12"/>
      <c r="G15" s="12"/>
      <c r="H15" s="12"/>
      <c r="I15" s="12"/>
    </row>
    <row r="16" spans="1:12">
      <c r="C16" s="16"/>
      <c r="G16" s="16"/>
    </row>
  </sheetData>
  <autoFilter ref="A7:J7" xr:uid="{00000000-0009-0000-0000-00000B000000}">
    <sortState xmlns:xlrd2="http://schemas.microsoft.com/office/spreadsheetml/2017/richdata2" ref="A8:J15">
      <sortCondition descending="1" ref="G7"/>
    </sortState>
  </autoFilter>
  <mergeCells count="7">
    <mergeCell ref="A6:B6"/>
    <mergeCell ref="C6:F6"/>
    <mergeCell ref="A4:J4"/>
    <mergeCell ref="G6:J6"/>
    <mergeCell ref="A1:J1"/>
    <mergeCell ref="A2:J2"/>
    <mergeCell ref="A3:J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A1:M20"/>
  <sheetViews>
    <sheetView rightToLeft="1" view="pageBreakPreview" zoomScaleNormal="100" zoomScaleSheetLayoutView="100" workbookViewId="0">
      <selection activeCell="E15" sqref="E15"/>
    </sheetView>
  </sheetViews>
  <sheetFormatPr defaultColWidth="9.140625" defaultRowHeight="18"/>
  <cols>
    <col min="1" max="1" width="32.42578125" style="168" customWidth="1"/>
    <col min="2" max="2" width="1.42578125" style="168" customWidth="1"/>
    <col min="3" max="3" width="17.7109375" style="168" bestFit="1" customWidth="1"/>
    <col min="4" max="4" width="0.85546875" style="168" customWidth="1"/>
    <col min="5" max="5" width="18.140625" style="168" customWidth="1"/>
    <col min="6" max="8" width="9.140625" style="168"/>
    <col min="9" max="9" width="11.28515625" style="168" bestFit="1" customWidth="1"/>
    <col min="10" max="10" width="10.85546875" style="168" bestFit="1" customWidth="1"/>
    <col min="11" max="11" width="9.140625" style="168"/>
    <col min="12" max="12" width="9.85546875" style="168" bestFit="1" customWidth="1"/>
    <col min="13" max="13" width="11.28515625" style="168" bestFit="1" customWidth="1"/>
    <col min="14" max="16384" width="9.140625" style="168"/>
  </cols>
  <sheetData>
    <row r="1" spans="1:13" s="310" customFormat="1" ht="18.75">
      <c r="A1" s="227" t="s">
        <v>87</v>
      </c>
      <c r="B1" s="227"/>
      <c r="C1" s="227"/>
      <c r="D1" s="227"/>
      <c r="E1" s="227"/>
    </row>
    <row r="2" spans="1:13" s="310" customFormat="1" ht="18.75">
      <c r="A2" s="227" t="s">
        <v>52</v>
      </c>
      <c r="B2" s="227"/>
      <c r="C2" s="227"/>
      <c r="D2" s="227"/>
      <c r="E2" s="227"/>
    </row>
    <row r="3" spans="1:13" s="310" customFormat="1" ht="18.75">
      <c r="A3" s="227" t="str">
        <f>' سهام'!A3:W3</f>
        <v>برای ماه منتهی به 1403/04/31</v>
      </c>
      <c r="B3" s="227"/>
      <c r="C3" s="227"/>
      <c r="D3" s="227"/>
      <c r="E3" s="227"/>
    </row>
    <row r="4" spans="1:13" ht="18.75">
      <c r="A4" s="230" t="s">
        <v>28</v>
      </c>
      <c r="B4" s="230"/>
      <c r="C4" s="230"/>
      <c r="D4" s="230"/>
      <c r="E4" s="230"/>
    </row>
    <row r="5" spans="1:13" ht="49.5" customHeight="1" thickBot="1">
      <c r="A5" s="289"/>
      <c r="B5" s="290"/>
      <c r="C5" s="298" t="str">
        <f>'درآمد سرمایه گذاری در سهام '!C7</f>
        <v>طی تیر ماه</v>
      </c>
      <c r="D5" s="171"/>
      <c r="E5" s="298" t="str">
        <f>'درآمد سرمایه گذاری در سهام '!M7</f>
        <v>از ابتدای سال مالی تا پایان تیر ماه</v>
      </c>
    </row>
    <row r="6" spans="1:13" ht="16.5" customHeight="1">
      <c r="A6" s="292"/>
      <c r="B6" s="293"/>
      <c r="C6" s="294" t="s">
        <v>6</v>
      </c>
      <c r="D6" s="295"/>
      <c r="E6" s="294" t="s">
        <v>6</v>
      </c>
    </row>
    <row r="7" spans="1:13" ht="18.75" thickBot="1">
      <c r="A7" s="293"/>
      <c r="B7" s="293"/>
      <c r="C7" s="299"/>
      <c r="D7" s="300"/>
      <c r="E7" s="299"/>
    </row>
    <row r="8" spans="1:13">
      <c r="A8" s="171" t="s">
        <v>29</v>
      </c>
      <c r="B8" s="171"/>
      <c r="C8" s="12">
        <v>81</v>
      </c>
      <c r="D8" s="12"/>
      <c r="E8" s="12">
        <v>18434678</v>
      </c>
      <c r="F8" s="175"/>
      <c r="G8" s="175"/>
      <c r="H8" s="175"/>
      <c r="I8" s="175"/>
      <c r="J8" s="175"/>
      <c r="L8" s="175"/>
      <c r="M8" s="175"/>
    </row>
    <row r="9" spans="1:13">
      <c r="A9" s="171" t="s">
        <v>98</v>
      </c>
      <c r="B9" s="171"/>
      <c r="C9" s="12">
        <v>0</v>
      </c>
      <c r="D9" s="12">
        <v>27449510</v>
      </c>
      <c r="E9" s="12">
        <v>265983</v>
      </c>
      <c r="F9" s="311"/>
      <c r="G9" s="175"/>
      <c r="H9" s="175"/>
      <c r="I9" s="175"/>
      <c r="J9" s="175"/>
      <c r="K9" s="175"/>
      <c r="L9" s="175"/>
    </row>
    <row r="10" spans="1:13">
      <c r="A10" s="171" t="s">
        <v>119</v>
      </c>
      <c r="B10" s="171"/>
      <c r="C10" s="12">
        <v>0</v>
      </c>
      <c r="D10" s="12"/>
      <c r="E10" s="12">
        <v>16227227</v>
      </c>
      <c r="F10" s="311"/>
      <c r="G10" s="175"/>
      <c r="H10" s="175"/>
      <c r="I10" s="175"/>
      <c r="J10" s="175"/>
      <c r="K10" s="175"/>
      <c r="L10" s="175"/>
    </row>
    <row r="11" spans="1:13" ht="18.75" thickBot="1">
      <c r="A11" s="312" t="s">
        <v>2</v>
      </c>
      <c r="B11" s="171"/>
      <c r="C11" s="68">
        <f>SUM(C8:C10)</f>
        <v>81</v>
      </c>
      <c r="D11" s="12"/>
      <c r="E11" s="68">
        <f>SUM(E8:E10)</f>
        <v>34927888</v>
      </c>
      <c r="G11" s="175"/>
      <c r="H11" s="175"/>
      <c r="I11" s="175"/>
      <c r="J11" s="175"/>
    </row>
    <row r="12" spans="1:13" ht="18.75" thickTop="1">
      <c r="A12" s="171"/>
      <c r="D12" s="12"/>
      <c r="G12" s="175"/>
      <c r="H12" s="175"/>
      <c r="I12" s="175"/>
      <c r="J12" s="175"/>
    </row>
    <row r="13" spans="1:13">
      <c r="C13" s="313"/>
      <c r="E13" s="150"/>
    </row>
    <row r="14" spans="1:13">
      <c r="C14" s="12"/>
      <c r="E14" s="150"/>
      <c r="M14" s="313"/>
    </row>
    <row r="15" spans="1:13">
      <c r="C15" s="12"/>
      <c r="E15" s="150"/>
      <c r="M15" s="313"/>
    </row>
    <row r="16" spans="1:13">
      <c r="C16" s="150"/>
      <c r="E16" s="150"/>
    </row>
    <row r="17" spans="3:13">
      <c r="C17" s="175"/>
      <c r="E17" s="150"/>
      <c r="M17" s="313"/>
    </row>
    <row r="18" spans="3:13">
      <c r="C18" s="150"/>
      <c r="E18" s="175"/>
    </row>
    <row r="20" spans="3:13">
      <c r="C20" s="313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S39"/>
  <sheetViews>
    <sheetView rightToLeft="1" view="pageBreakPreview" zoomScale="115" zoomScaleNormal="100" zoomScaleSheetLayoutView="115" workbookViewId="0">
      <selection activeCell="U11" sqref="U11"/>
    </sheetView>
  </sheetViews>
  <sheetFormatPr defaultColWidth="9.140625" defaultRowHeight="17.25"/>
  <cols>
    <col min="1" max="1" width="30.5703125" style="315" bestFit="1" customWidth="1"/>
    <col min="2" max="2" width="0.5703125" style="315" customWidth="1"/>
    <col min="3" max="3" width="15" style="315" customWidth="1"/>
    <col min="4" max="4" width="0.85546875" style="315" customWidth="1"/>
    <col min="5" max="5" width="15.28515625" style="315" bestFit="1" customWidth="1"/>
    <col min="6" max="6" width="1.140625" style="315" customWidth="1"/>
    <col min="7" max="7" width="9.42578125" style="315" bestFit="1" customWidth="1"/>
    <col min="8" max="8" width="0.5703125" style="315" customWidth="1"/>
    <col min="9" max="9" width="19.42578125" style="315" customWidth="1"/>
    <col min="10" max="10" width="1" style="315" customWidth="1"/>
    <col min="11" max="11" width="15.28515625" style="315" customWidth="1"/>
    <col min="12" max="12" width="1.140625" style="315" customWidth="1"/>
    <col min="13" max="13" width="18.28515625" style="315" customWidth="1"/>
    <col min="14" max="14" width="1" style="315" customWidth="1"/>
    <col min="15" max="15" width="19.42578125" style="315" bestFit="1" customWidth="1"/>
    <col min="16" max="16" width="1.140625" style="315" customWidth="1"/>
    <col min="17" max="17" width="16" style="315" bestFit="1" customWidth="1"/>
    <col min="18" max="18" width="1.140625" style="315" customWidth="1"/>
    <col min="19" max="19" width="21.140625" style="315" bestFit="1" customWidth="1"/>
    <col min="20" max="20" width="2.85546875" style="315" customWidth="1"/>
    <col min="21" max="21" width="10.42578125" style="315" bestFit="1" customWidth="1"/>
    <col min="22" max="16384" width="9.140625" style="315"/>
  </cols>
  <sheetData>
    <row r="1" spans="1:19" ht="22.5">
      <c r="A1" s="314" t="s">
        <v>87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</row>
    <row r="2" spans="1:19" ht="22.5">
      <c r="A2" s="314" t="s">
        <v>52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</row>
    <row r="3" spans="1:19" ht="22.5">
      <c r="A3" s="314" t="str">
        <f>' سهام'!$A$3</f>
        <v>برای ماه منتهی به 1403/04/31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</row>
    <row r="4" spans="1:19" ht="22.5">
      <c r="A4" s="316" t="s">
        <v>72</v>
      </c>
      <c r="B4" s="316"/>
      <c r="C4" s="316"/>
      <c r="D4" s="316"/>
      <c r="E4" s="316"/>
      <c r="F4" s="316"/>
      <c r="G4" s="316"/>
      <c r="H4" s="316"/>
      <c r="I4" s="253"/>
      <c r="J4" s="253"/>
      <c r="K4" s="253"/>
      <c r="L4" s="253"/>
      <c r="M4" s="253"/>
      <c r="N4" s="253"/>
      <c r="O4" s="253"/>
      <c r="P4" s="253"/>
      <c r="Q4" s="316"/>
      <c r="R4" s="316"/>
      <c r="S4" s="316"/>
    </row>
    <row r="6" spans="1:19" ht="18.75">
      <c r="C6" s="317" t="s">
        <v>73</v>
      </c>
      <c r="D6" s="318"/>
      <c r="E6" s="318"/>
      <c r="F6" s="318"/>
      <c r="G6" s="318"/>
      <c r="I6" s="317" t="s">
        <v>74</v>
      </c>
      <c r="J6" s="318"/>
      <c r="K6" s="318"/>
      <c r="L6" s="318"/>
      <c r="M6" s="318"/>
      <c r="O6" s="317" t="str">
        <f>اوراق!Y6</f>
        <v>1403/04/31</v>
      </c>
      <c r="P6" s="318"/>
      <c r="Q6" s="318"/>
      <c r="R6" s="318"/>
      <c r="S6" s="318"/>
    </row>
    <row r="7" spans="1:19" ht="56.25">
      <c r="A7" s="319" t="s">
        <v>75</v>
      </c>
      <c r="C7" s="320" t="s">
        <v>76</v>
      </c>
      <c r="E7" s="320" t="s">
        <v>77</v>
      </c>
      <c r="G7" s="320" t="s">
        <v>78</v>
      </c>
      <c r="I7" s="320" t="s">
        <v>79</v>
      </c>
      <c r="K7" s="320" t="s">
        <v>80</v>
      </c>
      <c r="M7" s="320" t="s">
        <v>81</v>
      </c>
      <c r="O7" s="320" t="s">
        <v>79</v>
      </c>
      <c r="Q7" s="320" t="s">
        <v>80</v>
      </c>
      <c r="S7" s="320" t="s">
        <v>81</v>
      </c>
    </row>
    <row r="8" spans="1:19" ht="18">
      <c r="A8" s="127" t="s">
        <v>94</v>
      </c>
      <c r="B8" s="127"/>
      <c r="C8" s="127" t="s">
        <v>155</v>
      </c>
      <c r="D8" s="127"/>
      <c r="E8" s="12">
        <v>0</v>
      </c>
      <c r="F8" s="127"/>
      <c r="G8" s="12">
        <v>0</v>
      </c>
      <c r="H8" s="127"/>
      <c r="I8" s="12">
        <v>0</v>
      </c>
      <c r="J8" s="127"/>
      <c r="K8" s="12">
        <v>0</v>
      </c>
      <c r="L8" s="127"/>
      <c r="M8" s="12">
        <f>I8-K8</f>
        <v>0</v>
      </c>
      <c r="N8" s="127"/>
      <c r="O8" s="12">
        <f>G8*E8</f>
        <v>0</v>
      </c>
      <c r="P8" s="127"/>
      <c r="Q8" s="12">
        <v>0</v>
      </c>
      <c r="R8" s="127"/>
      <c r="S8" s="12">
        <f>O8-Q8</f>
        <v>0</v>
      </c>
    </row>
    <row r="9" spans="1:19" ht="18">
      <c r="A9" s="127" t="s">
        <v>105</v>
      </c>
      <c r="B9" s="127"/>
      <c r="C9" s="127" t="s">
        <v>143</v>
      </c>
      <c r="D9" s="127"/>
      <c r="E9" s="12">
        <v>40952</v>
      </c>
      <c r="F9" s="127"/>
      <c r="G9" s="12">
        <v>3935</v>
      </c>
      <c r="H9" s="127"/>
      <c r="I9" s="12">
        <v>0</v>
      </c>
      <c r="J9" s="127"/>
      <c r="K9" s="12">
        <v>0</v>
      </c>
      <c r="L9" s="127"/>
      <c r="M9" s="12">
        <f t="shared" ref="M9:M25" si="0">I9-K9</f>
        <v>0</v>
      </c>
      <c r="N9" s="127"/>
      <c r="O9" s="12">
        <f>G9*E9</f>
        <v>161146120</v>
      </c>
      <c r="P9" s="127"/>
      <c r="Q9" s="12">
        <v>0</v>
      </c>
      <c r="R9" s="127"/>
      <c r="S9" s="12">
        <f t="shared" ref="S9:S25" si="1">O9-Q9</f>
        <v>161146120</v>
      </c>
    </row>
    <row r="10" spans="1:19" ht="18">
      <c r="A10" s="127" t="s">
        <v>99</v>
      </c>
      <c r="B10" s="127"/>
      <c r="C10" s="127" t="s">
        <v>144</v>
      </c>
      <c r="D10" s="127"/>
      <c r="E10" s="12">
        <v>43844</v>
      </c>
      <c r="F10" s="127"/>
      <c r="G10" s="12">
        <v>5600</v>
      </c>
      <c r="H10" s="127"/>
      <c r="I10" s="12">
        <v>0</v>
      </c>
      <c r="J10" s="127"/>
      <c r="K10" s="12">
        <v>0</v>
      </c>
      <c r="L10" s="127"/>
      <c r="M10" s="12">
        <f t="shared" si="0"/>
        <v>0</v>
      </c>
      <c r="N10" s="127"/>
      <c r="O10" s="12">
        <f t="shared" ref="O10:O24" si="2">G10*E10</f>
        <v>245526400</v>
      </c>
      <c r="P10" s="127"/>
      <c r="Q10" s="12">
        <v>0</v>
      </c>
      <c r="R10" s="127"/>
      <c r="S10" s="12">
        <f t="shared" si="1"/>
        <v>245526400</v>
      </c>
    </row>
    <row r="11" spans="1:19" ht="18">
      <c r="A11" s="127" t="s">
        <v>122</v>
      </c>
      <c r="B11" s="127"/>
      <c r="C11" s="127" t="s">
        <v>145</v>
      </c>
      <c r="D11" s="127"/>
      <c r="E11" s="12">
        <v>300000</v>
      </c>
      <c r="F11" s="127"/>
      <c r="G11" s="12">
        <v>1920</v>
      </c>
      <c r="H11" s="127"/>
      <c r="I11" s="12">
        <v>0</v>
      </c>
      <c r="J11" s="127"/>
      <c r="K11" s="12">
        <v>0</v>
      </c>
      <c r="L11" s="127"/>
      <c r="M11" s="12">
        <f t="shared" si="0"/>
        <v>0</v>
      </c>
      <c r="N11" s="127"/>
      <c r="O11" s="12">
        <f t="shared" si="2"/>
        <v>576000000</v>
      </c>
      <c r="P11" s="127"/>
      <c r="Q11" s="12">
        <v>34493239</v>
      </c>
      <c r="R11" s="127"/>
      <c r="S11" s="12">
        <f t="shared" si="1"/>
        <v>541506761</v>
      </c>
    </row>
    <row r="12" spans="1:19" ht="18">
      <c r="A12" s="127" t="s">
        <v>141</v>
      </c>
      <c r="B12" s="127"/>
      <c r="C12" s="127" t="s">
        <v>146</v>
      </c>
      <c r="D12" s="127"/>
      <c r="E12" s="12">
        <v>625000</v>
      </c>
      <c r="F12" s="127"/>
      <c r="G12" s="12">
        <v>3000</v>
      </c>
      <c r="H12" s="127"/>
      <c r="I12" s="12">
        <v>0</v>
      </c>
      <c r="J12" s="127"/>
      <c r="K12" s="12">
        <v>0</v>
      </c>
      <c r="L12" s="127"/>
      <c r="M12" s="12">
        <f t="shared" si="0"/>
        <v>0</v>
      </c>
      <c r="N12" s="127"/>
      <c r="O12" s="12">
        <f t="shared" si="2"/>
        <v>1875000000</v>
      </c>
      <c r="P12" s="127"/>
      <c r="Q12" s="12">
        <v>69261214</v>
      </c>
      <c r="R12" s="127"/>
      <c r="S12" s="12">
        <f t="shared" si="1"/>
        <v>1805738786</v>
      </c>
    </row>
    <row r="13" spans="1:19" ht="18">
      <c r="A13" s="127" t="s">
        <v>123</v>
      </c>
      <c r="B13" s="127"/>
      <c r="C13" s="127" t="s">
        <v>147</v>
      </c>
      <c r="D13" s="127"/>
      <c r="E13" s="12">
        <v>64886</v>
      </c>
      <c r="F13" s="127"/>
      <c r="G13" s="12">
        <v>1850</v>
      </c>
      <c r="H13" s="127"/>
      <c r="I13" s="12">
        <v>0</v>
      </c>
      <c r="J13" s="127"/>
      <c r="K13" s="12">
        <v>0</v>
      </c>
      <c r="L13" s="127"/>
      <c r="M13" s="12">
        <f t="shared" si="0"/>
        <v>0</v>
      </c>
      <c r="N13" s="127"/>
      <c r="O13" s="12">
        <f t="shared" si="2"/>
        <v>120039100</v>
      </c>
      <c r="P13" s="127"/>
      <c r="Q13" s="12">
        <v>0</v>
      </c>
      <c r="R13" s="127"/>
      <c r="S13" s="12">
        <f t="shared" si="1"/>
        <v>120039100</v>
      </c>
    </row>
    <row r="14" spans="1:19" ht="18">
      <c r="A14" s="127" t="s">
        <v>125</v>
      </c>
      <c r="B14" s="127"/>
      <c r="C14" s="127" t="s">
        <v>147</v>
      </c>
      <c r="D14" s="127"/>
      <c r="E14" s="12">
        <v>572500</v>
      </c>
      <c r="F14" s="127"/>
      <c r="G14" s="12">
        <v>1350</v>
      </c>
      <c r="H14" s="127"/>
      <c r="I14" s="12">
        <v>0</v>
      </c>
      <c r="J14" s="127"/>
      <c r="K14" s="12">
        <v>0</v>
      </c>
      <c r="L14" s="127"/>
      <c r="M14" s="12">
        <f t="shared" si="0"/>
        <v>0</v>
      </c>
      <c r="N14" s="127"/>
      <c r="O14" s="12">
        <f t="shared" si="2"/>
        <v>772875000</v>
      </c>
      <c r="P14" s="127"/>
      <c r="Q14" s="12">
        <v>0</v>
      </c>
      <c r="R14" s="127"/>
      <c r="S14" s="12">
        <f t="shared" si="1"/>
        <v>772875000</v>
      </c>
    </row>
    <row r="15" spans="1:19" ht="18">
      <c r="A15" s="127" t="s">
        <v>102</v>
      </c>
      <c r="B15" s="127"/>
      <c r="C15" s="127" t="s">
        <v>148</v>
      </c>
      <c r="D15" s="127"/>
      <c r="E15" s="12">
        <v>40877</v>
      </c>
      <c r="F15" s="127"/>
      <c r="G15" s="12">
        <v>4070</v>
      </c>
      <c r="H15" s="127"/>
      <c r="I15" s="12">
        <v>0</v>
      </c>
      <c r="J15" s="127"/>
      <c r="K15" s="12">
        <v>0</v>
      </c>
      <c r="L15" s="127"/>
      <c r="M15" s="12">
        <f t="shared" si="0"/>
        <v>0</v>
      </c>
      <c r="N15" s="127"/>
      <c r="O15" s="12">
        <f t="shared" si="2"/>
        <v>166369390</v>
      </c>
      <c r="P15" s="127"/>
      <c r="Q15" s="12">
        <v>0</v>
      </c>
      <c r="R15" s="127"/>
      <c r="S15" s="12">
        <f t="shared" si="1"/>
        <v>166369390</v>
      </c>
    </row>
    <row r="16" spans="1:19" ht="18">
      <c r="A16" s="127" t="s">
        <v>110</v>
      </c>
      <c r="B16" s="127"/>
      <c r="C16" s="127" t="s">
        <v>149</v>
      </c>
      <c r="D16" s="127"/>
      <c r="E16" s="12">
        <v>337658</v>
      </c>
      <c r="F16" s="127"/>
      <c r="G16" s="12">
        <v>1060</v>
      </c>
      <c r="H16" s="127"/>
      <c r="I16" s="12">
        <v>0</v>
      </c>
      <c r="J16" s="127"/>
      <c r="K16" s="12">
        <v>0</v>
      </c>
      <c r="L16" s="127"/>
      <c r="M16" s="12">
        <f t="shared" si="0"/>
        <v>0</v>
      </c>
      <c r="N16" s="127"/>
      <c r="O16" s="12">
        <f t="shared" si="2"/>
        <v>357917480</v>
      </c>
      <c r="P16" s="127"/>
      <c r="Q16" s="12">
        <v>0</v>
      </c>
      <c r="R16" s="127"/>
      <c r="S16" s="12">
        <f t="shared" si="1"/>
        <v>357917480</v>
      </c>
    </row>
    <row r="17" spans="1:19" ht="18">
      <c r="A17" s="127" t="s">
        <v>103</v>
      </c>
      <c r="B17" s="127"/>
      <c r="C17" s="127" t="s">
        <v>150</v>
      </c>
      <c r="D17" s="127"/>
      <c r="E17" s="12">
        <v>64355</v>
      </c>
      <c r="F17" s="127"/>
      <c r="G17" s="12">
        <v>1900</v>
      </c>
      <c r="H17" s="127"/>
      <c r="I17" s="12">
        <v>0</v>
      </c>
      <c r="J17" s="127"/>
      <c r="K17" s="12">
        <v>0</v>
      </c>
      <c r="L17" s="127"/>
      <c r="M17" s="12">
        <f t="shared" si="0"/>
        <v>0</v>
      </c>
      <c r="N17" s="127"/>
      <c r="O17" s="12">
        <f t="shared" si="2"/>
        <v>122274500</v>
      </c>
      <c r="P17" s="127"/>
      <c r="Q17" s="12">
        <v>0</v>
      </c>
      <c r="R17" s="127"/>
      <c r="S17" s="12">
        <f t="shared" si="1"/>
        <v>122274500</v>
      </c>
    </row>
    <row r="18" spans="1:19" ht="18">
      <c r="A18" s="127" t="s">
        <v>88</v>
      </c>
      <c r="B18" s="127"/>
      <c r="C18" s="127" t="s">
        <v>139</v>
      </c>
      <c r="D18" s="127"/>
      <c r="E18" s="12">
        <v>158661</v>
      </c>
      <c r="F18" s="127"/>
      <c r="G18" s="12">
        <v>1630</v>
      </c>
      <c r="H18" s="127"/>
      <c r="I18" s="12">
        <v>0</v>
      </c>
      <c r="J18" s="127"/>
      <c r="K18" s="12">
        <v>0</v>
      </c>
      <c r="L18" s="127"/>
      <c r="M18" s="12">
        <f t="shared" si="0"/>
        <v>0</v>
      </c>
      <c r="N18" s="127"/>
      <c r="O18" s="12">
        <f t="shared" si="2"/>
        <v>258617430</v>
      </c>
      <c r="P18" s="127"/>
      <c r="Q18" s="12">
        <v>9881298</v>
      </c>
      <c r="R18" s="127"/>
      <c r="S18" s="12">
        <f t="shared" si="1"/>
        <v>248736132</v>
      </c>
    </row>
    <row r="19" spans="1:19" ht="18">
      <c r="A19" s="127" t="s">
        <v>92</v>
      </c>
      <c r="B19" s="127"/>
      <c r="C19" s="127" t="s">
        <v>156</v>
      </c>
      <c r="D19" s="127"/>
      <c r="E19" s="12">
        <v>76199</v>
      </c>
      <c r="F19" s="127"/>
      <c r="G19" s="12">
        <v>4660</v>
      </c>
      <c r="H19" s="127"/>
      <c r="I19" s="12">
        <v>355087340</v>
      </c>
      <c r="J19" s="127"/>
      <c r="K19" s="12">
        <v>9699254</v>
      </c>
      <c r="L19" s="127"/>
      <c r="M19" s="12">
        <f t="shared" si="0"/>
        <v>345388086</v>
      </c>
      <c r="N19" s="127"/>
      <c r="O19" s="12">
        <f>G19*E19</f>
        <v>355087340</v>
      </c>
      <c r="P19" s="127"/>
      <c r="Q19" s="12">
        <v>9699254</v>
      </c>
      <c r="R19" s="127"/>
      <c r="S19" s="12">
        <f t="shared" si="1"/>
        <v>345388086</v>
      </c>
    </row>
    <row r="20" spans="1:19" ht="18">
      <c r="A20" s="127" t="s">
        <v>126</v>
      </c>
      <c r="B20" s="127"/>
      <c r="C20" s="127" t="s">
        <v>157</v>
      </c>
      <c r="D20" s="127"/>
      <c r="E20" s="12">
        <v>200000</v>
      </c>
      <c r="F20" s="127"/>
      <c r="G20" s="12">
        <v>250</v>
      </c>
      <c r="H20" s="127"/>
      <c r="I20" s="12">
        <v>50000000</v>
      </c>
      <c r="J20" s="127"/>
      <c r="K20" s="12">
        <v>3235106</v>
      </c>
      <c r="L20" s="127"/>
      <c r="M20" s="12">
        <f t="shared" si="0"/>
        <v>46764894</v>
      </c>
      <c r="N20" s="127"/>
      <c r="O20" s="12">
        <f t="shared" si="2"/>
        <v>50000000</v>
      </c>
      <c r="P20" s="127"/>
      <c r="Q20" s="12">
        <v>3235106</v>
      </c>
      <c r="R20" s="127"/>
      <c r="S20" s="12">
        <f t="shared" si="1"/>
        <v>46764894</v>
      </c>
    </row>
    <row r="21" spans="1:19" ht="18">
      <c r="A21" s="127" t="s">
        <v>90</v>
      </c>
      <c r="B21" s="127"/>
      <c r="C21" s="127" t="s">
        <v>158</v>
      </c>
      <c r="D21" s="127"/>
      <c r="E21" s="12">
        <v>180232</v>
      </c>
      <c r="F21" s="127"/>
      <c r="G21" s="12">
        <v>2000</v>
      </c>
      <c r="H21" s="127"/>
      <c r="I21" s="12">
        <v>360464000</v>
      </c>
      <c r="J21" s="127"/>
      <c r="K21" s="12">
        <v>11704928</v>
      </c>
      <c r="L21" s="127"/>
      <c r="M21" s="12">
        <f t="shared" si="0"/>
        <v>348759072</v>
      </c>
      <c r="N21" s="127"/>
      <c r="O21" s="12">
        <f t="shared" si="2"/>
        <v>360464000</v>
      </c>
      <c r="P21" s="127"/>
      <c r="Q21" s="12">
        <v>11704928</v>
      </c>
      <c r="R21" s="127"/>
      <c r="S21" s="12">
        <f t="shared" si="1"/>
        <v>348759072</v>
      </c>
    </row>
    <row r="22" spans="1:19" ht="18">
      <c r="A22" s="127" t="s">
        <v>140</v>
      </c>
      <c r="B22" s="127"/>
      <c r="C22" s="127" t="s">
        <v>159</v>
      </c>
      <c r="D22" s="127"/>
      <c r="E22" s="12">
        <v>67316</v>
      </c>
      <c r="F22" s="127"/>
      <c r="G22" s="12">
        <v>2150</v>
      </c>
      <c r="H22" s="127"/>
      <c r="I22" s="12">
        <v>144729400</v>
      </c>
      <c r="J22" s="127"/>
      <c r="K22" s="12">
        <v>9882607</v>
      </c>
      <c r="L22" s="127"/>
      <c r="M22" s="12">
        <f t="shared" si="0"/>
        <v>134846793</v>
      </c>
      <c r="N22" s="127"/>
      <c r="O22" s="12">
        <f t="shared" si="2"/>
        <v>144729400</v>
      </c>
      <c r="P22" s="127"/>
      <c r="Q22" s="12">
        <v>9882607</v>
      </c>
      <c r="R22" s="127"/>
      <c r="S22" s="12">
        <f t="shared" si="1"/>
        <v>134846793</v>
      </c>
    </row>
    <row r="23" spans="1:19" ht="18">
      <c r="A23" s="127" t="s">
        <v>95</v>
      </c>
      <c r="B23" s="127"/>
      <c r="C23" s="127" t="s">
        <v>160</v>
      </c>
      <c r="D23" s="127"/>
      <c r="E23" s="12">
        <v>773862</v>
      </c>
      <c r="F23" s="127"/>
      <c r="G23" s="12">
        <v>300</v>
      </c>
      <c r="H23" s="127"/>
      <c r="I23" s="12">
        <v>232158600</v>
      </c>
      <c r="J23" s="127"/>
      <c r="K23" s="12">
        <v>2516624</v>
      </c>
      <c r="L23" s="127"/>
      <c r="M23" s="12">
        <f t="shared" si="0"/>
        <v>229641976</v>
      </c>
      <c r="N23" s="127"/>
      <c r="O23" s="12">
        <f t="shared" si="2"/>
        <v>232158600</v>
      </c>
      <c r="P23" s="127"/>
      <c r="Q23" s="12">
        <v>2516624</v>
      </c>
      <c r="R23" s="127"/>
      <c r="S23" s="12">
        <f t="shared" si="1"/>
        <v>229641976</v>
      </c>
    </row>
    <row r="24" spans="1:19" ht="18">
      <c r="A24" s="127" t="s">
        <v>121</v>
      </c>
      <c r="B24" s="127"/>
      <c r="C24" s="127" t="s">
        <v>160</v>
      </c>
      <c r="D24" s="127"/>
      <c r="E24" s="12">
        <v>227817</v>
      </c>
      <c r="F24" s="127"/>
      <c r="G24" s="12">
        <v>1680</v>
      </c>
      <c r="H24" s="127"/>
      <c r="I24" s="12">
        <v>382732560</v>
      </c>
      <c r="J24" s="127"/>
      <c r="K24" s="12">
        <v>23843968</v>
      </c>
      <c r="L24" s="127"/>
      <c r="M24" s="12">
        <f t="shared" si="0"/>
        <v>358888592</v>
      </c>
      <c r="N24" s="127"/>
      <c r="O24" s="12">
        <f t="shared" si="2"/>
        <v>382732560</v>
      </c>
      <c r="P24" s="127"/>
      <c r="Q24" s="12">
        <v>23843968</v>
      </c>
      <c r="R24" s="127"/>
      <c r="S24" s="12">
        <f t="shared" si="1"/>
        <v>358888592</v>
      </c>
    </row>
    <row r="25" spans="1:19" ht="18">
      <c r="A25" s="127" t="s">
        <v>91</v>
      </c>
      <c r="B25" s="127"/>
      <c r="C25" s="127" t="s">
        <v>161</v>
      </c>
      <c r="D25" s="127"/>
      <c r="E25" s="12">
        <v>208254</v>
      </c>
      <c r="F25" s="127"/>
      <c r="G25" s="12">
        <v>2920</v>
      </c>
      <c r="H25" s="127"/>
      <c r="I25" s="12">
        <v>608101680</v>
      </c>
      <c r="J25" s="127"/>
      <c r="K25" s="12">
        <v>86769647</v>
      </c>
      <c r="L25" s="127"/>
      <c r="M25" s="12">
        <f t="shared" si="0"/>
        <v>521332033</v>
      </c>
      <c r="N25" s="127"/>
      <c r="O25" s="12">
        <f>G25*E25</f>
        <v>608101680</v>
      </c>
      <c r="P25" s="127"/>
      <c r="Q25" s="12">
        <v>86769647</v>
      </c>
      <c r="R25" s="127"/>
      <c r="S25" s="12">
        <f t="shared" si="1"/>
        <v>521332033</v>
      </c>
    </row>
    <row r="26" spans="1:19" ht="18.75" thickBot="1">
      <c r="A26" s="321" t="s">
        <v>82</v>
      </c>
      <c r="G26" s="23"/>
      <c r="I26" s="68">
        <f>SUM(I8:I25)</f>
        <v>2133273580</v>
      </c>
      <c r="J26" s="321"/>
      <c r="K26" s="68">
        <f>SUM(K8:K25)</f>
        <v>147652134</v>
      </c>
      <c r="L26" s="321"/>
      <c r="M26" s="68">
        <f>SUM(M8:M25)</f>
        <v>1985621446</v>
      </c>
      <c r="N26" s="321"/>
      <c r="O26" s="68">
        <f>SUM(O8:O25)</f>
        <v>6789039000</v>
      </c>
      <c r="P26" s="321"/>
      <c r="Q26" s="68">
        <f>SUM(Q8:Q25)</f>
        <v>261287885</v>
      </c>
      <c r="R26" s="321"/>
      <c r="S26" s="68">
        <f>SUM(S8:S25)</f>
        <v>6527751115</v>
      </c>
    </row>
    <row r="27" spans="1:19" s="12" customFormat="1" ht="18.75" thickTop="1"/>
    <row r="28" spans="1:19" s="12" customFormat="1" ht="16.5" customHeight="1"/>
    <row r="29" spans="1:19" s="12" customFormat="1" ht="18">
      <c r="K29" s="322"/>
    </row>
    <row r="30" spans="1:19" s="12" customFormat="1" ht="18">
      <c r="K30" s="322"/>
    </row>
    <row r="31" spans="1:19" s="12" customFormat="1" ht="18">
      <c r="K31" s="322"/>
    </row>
    <row r="32" spans="1:19" s="12" customFormat="1" ht="18">
      <c r="K32" s="322"/>
    </row>
    <row r="33" spans="11:11" s="12" customFormat="1" ht="18">
      <c r="K33" s="322"/>
    </row>
    <row r="34" spans="11:11" s="12" customFormat="1" ht="18">
      <c r="K34" s="322"/>
    </row>
    <row r="35" spans="11:11" s="12" customFormat="1" ht="18">
      <c r="K35" s="322"/>
    </row>
    <row r="36" spans="11:11" s="12" customFormat="1" ht="18"/>
    <row r="37" spans="11:11" s="12" customFormat="1" ht="18"/>
    <row r="38" spans="11:11" s="12" customFormat="1" ht="18"/>
    <row r="39" spans="11:11" s="12" customFormat="1" ht="18"/>
  </sheetData>
  <autoFilter ref="A7:S7" xr:uid="{00000000-0009-0000-0000-000006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AA32"/>
  <sheetViews>
    <sheetView rightToLeft="1" view="pageBreakPreview" zoomScale="70" zoomScaleNormal="100" zoomScaleSheetLayoutView="70" workbookViewId="0">
      <selection activeCell="S9" sqref="S9"/>
    </sheetView>
  </sheetViews>
  <sheetFormatPr defaultColWidth="9.140625" defaultRowHeight="21.75"/>
  <cols>
    <col min="1" max="1" width="50.85546875" style="57" customWidth="1"/>
    <col min="2" max="2" width="15.5703125" style="57" bestFit="1" customWidth="1"/>
    <col min="3" max="3" width="0.85546875" style="57" customWidth="1"/>
    <col min="4" max="4" width="14" style="57" bestFit="1" customWidth="1"/>
    <col min="5" max="5" width="1.28515625" style="57" customWidth="1"/>
    <col min="6" max="6" width="12.42578125" style="57" customWidth="1"/>
    <col min="7" max="7" width="1" style="57" customWidth="1"/>
    <col min="8" max="8" width="25" style="22" bestFit="1" customWidth="1"/>
    <col min="9" max="9" width="0.85546875" style="22" customWidth="1"/>
    <col min="10" max="10" width="25" style="22" bestFit="1" customWidth="1"/>
    <col min="11" max="11" width="0.7109375" style="22" customWidth="1"/>
    <col min="12" max="12" width="23.140625" style="22" bestFit="1" customWidth="1"/>
    <col min="13" max="13" width="0.7109375" style="22" customWidth="1"/>
    <col min="14" max="14" width="23.140625" style="22" bestFit="1" customWidth="1"/>
    <col min="15" max="15" width="0.5703125" style="22" customWidth="1"/>
    <col min="16" max="16" width="17" style="22" bestFit="1" customWidth="1"/>
    <col min="17" max="17" width="0.5703125" style="22" customWidth="1"/>
    <col min="18" max="18" width="23.140625" style="22" bestFit="1" customWidth="1"/>
    <col min="19" max="19" width="14.28515625" style="121" bestFit="1" customWidth="1"/>
    <col min="20" max="20" width="15.85546875" style="121" bestFit="1" customWidth="1"/>
    <col min="21" max="21" width="11.28515625" style="121" bestFit="1" customWidth="1"/>
    <col min="22" max="22" width="14.42578125" style="121" bestFit="1" customWidth="1"/>
    <col min="23" max="27" width="9.140625" style="121"/>
    <col min="28" max="16384" width="9.140625" style="57"/>
  </cols>
  <sheetData>
    <row r="1" spans="1:27" ht="24.75">
      <c r="A1" s="255" t="s">
        <v>87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</row>
    <row r="2" spans="1:27" ht="24.75">
      <c r="A2" s="255" t="s">
        <v>52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</row>
    <row r="3" spans="1:27" ht="24.75">
      <c r="A3" s="255" t="str">
        <f>' سهام'!$A$3</f>
        <v>برای ماه منتهی به 1403/04/31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</row>
    <row r="4" spans="1:27" ht="24.75">
      <c r="A4" s="119"/>
      <c r="B4" s="131"/>
      <c r="C4" s="131"/>
      <c r="D4" s="131"/>
      <c r="E4" s="131"/>
      <c r="F4" s="131"/>
      <c r="G4" s="131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27" ht="24.75" customHeight="1">
      <c r="A5" s="248" t="s">
        <v>152</v>
      </c>
      <c r="B5" s="248"/>
      <c r="C5" s="248"/>
      <c r="D5" s="248"/>
      <c r="E5" s="248"/>
      <c r="F5" s="248"/>
      <c r="G5" s="248"/>
      <c r="H5" s="248"/>
      <c r="I5" s="19"/>
      <c r="J5" s="20"/>
      <c r="K5" s="20"/>
      <c r="L5" s="20"/>
      <c r="M5" s="20"/>
      <c r="N5" s="20"/>
      <c r="O5" s="20"/>
      <c r="P5" s="20"/>
      <c r="Q5" s="20"/>
      <c r="R5" s="20"/>
    </row>
    <row r="6" spans="1:27" ht="46.5" customHeight="1" thickBot="1">
      <c r="A6" s="64"/>
      <c r="B6" s="132"/>
      <c r="C6" s="132"/>
      <c r="D6" s="132"/>
      <c r="E6" s="132"/>
      <c r="F6" s="132"/>
      <c r="G6" s="133"/>
      <c r="H6" s="254" t="str">
        <f>'درآمد سرمایه گذاری در سهام '!C7</f>
        <v>طی تیر ماه</v>
      </c>
      <c r="I6" s="254"/>
      <c r="J6" s="254"/>
      <c r="K6" s="254"/>
      <c r="L6" s="254"/>
      <c r="M6" s="20"/>
      <c r="N6" s="254" t="str">
        <f>'درآمد سرمایه گذاری در سهام '!M7</f>
        <v>از ابتدای سال مالی تا پایان تیر ماه</v>
      </c>
      <c r="O6" s="254"/>
      <c r="P6" s="254"/>
      <c r="Q6" s="254"/>
      <c r="R6" s="254"/>
    </row>
    <row r="7" spans="1:27" ht="46.5" customHeight="1" thickBot="1">
      <c r="A7" s="66" t="s">
        <v>33</v>
      </c>
      <c r="B7" s="67" t="s">
        <v>36</v>
      </c>
      <c r="C7" s="133"/>
      <c r="D7" s="67" t="s">
        <v>20</v>
      </c>
      <c r="E7" s="133"/>
      <c r="F7" s="67" t="s">
        <v>154</v>
      </c>
      <c r="G7" s="65"/>
      <c r="H7" s="21" t="s">
        <v>53</v>
      </c>
      <c r="I7" s="120"/>
      <c r="J7" s="21" t="s">
        <v>35</v>
      </c>
      <c r="K7" s="120"/>
      <c r="L7" s="21" t="s">
        <v>37</v>
      </c>
      <c r="M7" s="20"/>
      <c r="N7" s="21" t="s">
        <v>53</v>
      </c>
      <c r="O7" s="120"/>
      <c r="P7" s="21" t="s">
        <v>35</v>
      </c>
      <c r="Q7" s="120"/>
      <c r="R7" s="21" t="s">
        <v>37</v>
      </c>
      <c r="S7" s="122"/>
      <c r="T7" s="123"/>
      <c r="U7" s="124"/>
    </row>
    <row r="8" spans="1:27" s="58" customFormat="1" ht="46.5" customHeight="1">
      <c r="A8" s="75" t="s">
        <v>86</v>
      </c>
      <c r="B8" s="12">
        <v>0</v>
      </c>
      <c r="C8" s="133"/>
      <c r="D8" s="12">
        <v>0</v>
      </c>
      <c r="E8" s="65"/>
      <c r="F8" s="12">
        <v>0</v>
      </c>
      <c r="G8" s="65"/>
      <c r="H8" s="12">
        <v>0</v>
      </c>
      <c r="I8" s="32"/>
      <c r="J8" s="32">
        <v>0</v>
      </c>
      <c r="K8" s="32"/>
      <c r="L8" s="32">
        <f>H8+J8</f>
        <v>0</v>
      </c>
      <c r="M8" s="32"/>
      <c r="N8" s="32">
        <v>0</v>
      </c>
      <c r="O8" s="32"/>
      <c r="P8" s="32">
        <v>0</v>
      </c>
      <c r="Q8" s="32"/>
      <c r="R8" s="32">
        <f>N8+P8</f>
        <v>0</v>
      </c>
      <c r="S8" s="121"/>
      <c r="T8" s="125"/>
      <c r="U8" s="121"/>
      <c r="V8" s="121"/>
      <c r="W8" s="121"/>
      <c r="X8" s="121"/>
      <c r="Y8" s="121"/>
      <c r="Z8" s="121"/>
      <c r="AA8" s="121"/>
    </row>
    <row r="9" spans="1:27" ht="46.5" customHeight="1" thickBot="1">
      <c r="A9" s="75"/>
      <c r="B9" s="32"/>
      <c r="C9" s="134"/>
      <c r="D9" s="135"/>
      <c r="E9" s="136"/>
      <c r="F9" s="137"/>
      <c r="G9" s="65"/>
      <c r="H9" s="68">
        <f>SUM(H8:H8)</f>
        <v>0</v>
      </c>
      <c r="I9" s="69"/>
      <c r="J9" s="77">
        <f>SUM(J8:J8)</f>
        <v>0</v>
      </c>
      <c r="K9" s="69"/>
      <c r="L9" s="77">
        <f>SUM(L8:L8)</f>
        <v>0</v>
      </c>
      <c r="M9" s="69"/>
      <c r="N9" s="77">
        <f>SUM(N8:N8)</f>
        <v>0</v>
      </c>
      <c r="O9" s="69"/>
      <c r="P9" s="77">
        <f>SUM(P8:P8)</f>
        <v>0</v>
      </c>
      <c r="Q9" s="78" t="e">
        <f>SUM(#REF!)</f>
        <v>#REF!</v>
      </c>
      <c r="R9" s="77">
        <f>SUM(R8:R8)</f>
        <v>0</v>
      </c>
    </row>
    <row r="10" spans="1:27" ht="47.45" customHeight="1" thickTop="1">
      <c r="B10" s="32"/>
      <c r="C10" s="134"/>
      <c r="D10" s="135"/>
      <c r="E10" s="136"/>
      <c r="F10" s="137"/>
      <c r="G10" s="65"/>
      <c r="I10" s="58"/>
      <c r="K10" s="58"/>
      <c r="M10" s="58"/>
      <c r="O10" s="58"/>
    </row>
    <row r="11" spans="1:27" ht="24">
      <c r="B11" s="65"/>
      <c r="C11" s="65"/>
      <c r="D11" s="65"/>
      <c r="E11" s="65"/>
      <c r="F11" s="65"/>
      <c r="I11" s="58"/>
      <c r="K11" s="58"/>
      <c r="M11" s="58"/>
      <c r="O11" s="58"/>
    </row>
    <row r="12" spans="1:27">
      <c r="H12" s="56"/>
      <c r="I12" s="58"/>
      <c r="K12" s="58"/>
      <c r="M12" s="58"/>
    </row>
    <row r="13" spans="1:27" s="1" customFormat="1" ht="24">
      <c r="B13" s="57"/>
      <c r="C13" s="57"/>
      <c r="D13" s="57"/>
      <c r="E13" s="57"/>
      <c r="F13" s="57"/>
      <c r="G13" s="65"/>
      <c r="H13" s="62"/>
      <c r="J13" s="63"/>
      <c r="L13" s="23"/>
      <c r="N13" s="24"/>
      <c r="P13" s="62"/>
      <c r="R13" s="12"/>
      <c r="S13" s="121"/>
      <c r="T13" s="121"/>
      <c r="U13" s="121"/>
      <c r="V13" s="121"/>
      <c r="W13" s="121"/>
      <c r="X13" s="121"/>
      <c r="Y13" s="121"/>
      <c r="Z13" s="121"/>
      <c r="AA13" s="121"/>
    </row>
    <row r="14" spans="1:27" s="1" customFormat="1" ht="24">
      <c r="B14" s="65"/>
      <c r="C14" s="65"/>
      <c r="D14" s="65"/>
      <c r="E14" s="65"/>
      <c r="F14" s="65"/>
      <c r="G14" s="65"/>
      <c r="H14" s="25"/>
      <c r="I14" s="61"/>
      <c r="J14" s="61"/>
      <c r="L14" s="23"/>
      <c r="N14" s="25"/>
      <c r="P14" s="61"/>
      <c r="R14" s="12"/>
      <c r="S14" s="121"/>
      <c r="T14" s="121"/>
      <c r="U14" s="121"/>
      <c r="V14" s="121"/>
      <c r="W14" s="121"/>
      <c r="X14" s="121"/>
      <c r="Y14" s="121"/>
      <c r="Z14" s="121"/>
      <c r="AA14" s="121"/>
    </row>
    <row r="15" spans="1:27" ht="24">
      <c r="B15" s="65"/>
      <c r="C15" s="65"/>
      <c r="D15" s="65"/>
      <c r="E15" s="65"/>
      <c r="F15" s="65"/>
      <c r="G15" s="65"/>
      <c r="H15" s="16"/>
      <c r="I15" s="58"/>
      <c r="K15" s="58"/>
      <c r="L15" s="12"/>
      <c r="N15" s="16"/>
      <c r="R15" s="12"/>
    </row>
    <row r="16" spans="1:27" ht="24">
      <c r="B16" s="65"/>
      <c r="C16" s="65"/>
      <c r="D16" s="65"/>
      <c r="E16" s="65"/>
      <c r="F16" s="65"/>
      <c r="G16" s="65"/>
      <c r="H16" s="16"/>
      <c r="K16" s="58"/>
      <c r="L16" s="12"/>
      <c r="N16" s="26"/>
      <c r="R16" s="12"/>
    </row>
    <row r="17" spans="2:21" ht="24">
      <c r="B17" s="65"/>
      <c r="C17" s="65"/>
      <c r="D17" s="65"/>
      <c r="E17" s="65"/>
      <c r="F17" s="65"/>
      <c r="G17" s="65"/>
      <c r="L17" s="12"/>
      <c r="R17" s="12"/>
    </row>
    <row r="18" spans="2:21" ht="24">
      <c r="B18" s="65"/>
      <c r="C18" s="65"/>
      <c r="D18" s="65"/>
      <c r="E18" s="65"/>
      <c r="F18" s="128"/>
      <c r="G18" s="65"/>
      <c r="L18" s="12"/>
      <c r="R18" s="12"/>
    </row>
    <row r="19" spans="2:21" ht="24">
      <c r="B19" s="65"/>
      <c r="C19" s="65"/>
      <c r="D19" s="65"/>
      <c r="E19" s="65"/>
      <c r="F19" s="129"/>
      <c r="G19" s="65"/>
      <c r="L19" s="12"/>
      <c r="R19" s="12"/>
    </row>
    <row r="20" spans="2:21" ht="24">
      <c r="B20" s="65"/>
      <c r="C20" s="65"/>
      <c r="D20" s="65"/>
      <c r="E20" s="65"/>
      <c r="F20" s="129"/>
      <c r="G20" s="65"/>
      <c r="L20" s="12"/>
      <c r="R20" s="12"/>
    </row>
    <row r="21" spans="2:21" ht="24">
      <c r="B21" s="65"/>
      <c r="C21" s="65"/>
      <c r="D21" s="65"/>
      <c r="E21" s="65"/>
      <c r="F21" s="65"/>
      <c r="G21" s="65"/>
    </row>
    <row r="22" spans="2:21" ht="24">
      <c r="B22" s="65"/>
      <c r="C22" s="65"/>
      <c r="D22" s="65"/>
      <c r="E22" s="65"/>
      <c r="F22" s="65"/>
      <c r="G22" s="65"/>
    </row>
    <row r="23" spans="2:21" ht="24">
      <c r="B23" s="65"/>
      <c r="C23" s="65"/>
      <c r="D23" s="65"/>
      <c r="E23" s="65"/>
      <c r="F23" s="65"/>
      <c r="G23" s="65"/>
    </row>
    <row r="24" spans="2:21" ht="24">
      <c r="B24" s="65"/>
      <c r="C24" s="65"/>
      <c r="D24" s="65"/>
      <c r="E24" s="65"/>
      <c r="F24" s="65"/>
      <c r="G24" s="65"/>
    </row>
    <row r="25" spans="2:21" ht="24">
      <c r="B25" s="65"/>
      <c r="C25" s="65"/>
      <c r="D25" s="65"/>
      <c r="E25" s="65"/>
      <c r="F25" s="65"/>
      <c r="G25" s="65"/>
    </row>
    <row r="26" spans="2:21" ht="24">
      <c r="B26" s="65"/>
      <c r="C26" s="65"/>
      <c r="D26" s="65"/>
      <c r="E26" s="65"/>
      <c r="F26" s="65"/>
      <c r="G26" s="65"/>
    </row>
    <row r="27" spans="2:21" ht="24">
      <c r="B27" s="65"/>
      <c r="C27" s="65"/>
      <c r="D27" s="65"/>
      <c r="E27" s="65"/>
      <c r="F27" s="65"/>
      <c r="G27" s="65"/>
    </row>
    <row r="28" spans="2:21" ht="24">
      <c r="B28" s="65"/>
      <c r="C28" s="65"/>
      <c r="D28" s="65"/>
      <c r="E28" s="65"/>
      <c r="F28" s="65"/>
    </row>
    <row r="32" spans="2:21" ht="24">
      <c r="U32" s="32"/>
    </row>
  </sheetData>
  <mergeCells count="6">
    <mergeCell ref="H6:L6"/>
    <mergeCell ref="N6:R6"/>
    <mergeCell ref="A1:R1"/>
    <mergeCell ref="A2:R2"/>
    <mergeCell ref="A3:R3"/>
    <mergeCell ref="A5:H5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F446-E40C-4D81-8EA2-B5454A916B9E}">
  <sheetPr>
    <tabColor rgb="FF92D050"/>
    <pageSetUpPr fitToPage="1"/>
  </sheetPr>
  <dimension ref="A1:Y28"/>
  <sheetViews>
    <sheetView rightToLeft="1" view="pageBreakPreview" zoomScale="80" zoomScaleNormal="100" zoomScaleSheetLayoutView="80" workbookViewId="0">
      <selection activeCell="F22" sqref="F22"/>
    </sheetView>
  </sheetViews>
  <sheetFormatPr defaultColWidth="9.140625" defaultRowHeight="18"/>
  <cols>
    <col min="1" max="1" width="50.85546875" style="168" customWidth="1"/>
    <col min="2" max="2" width="25" style="22" bestFit="1" customWidth="1"/>
    <col min="3" max="3" width="0.85546875" style="22" customWidth="1"/>
    <col min="4" max="4" width="18" style="22" bestFit="1" customWidth="1"/>
    <col min="5" max="5" width="0.7109375" style="22" customWidth="1"/>
    <col min="6" max="6" width="23.140625" style="22" bestFit="1" customWidth="1"/>
    <col min="7" max="7" width="0.7109375" style="22" customWidth="1"/>
    <col min="8" max="8" width="23.140625" style="22" bestFit="1" customWidth="1"/>
    <col min="9" max="9" width="0.5703125" style="22" customWidth="1"/>
    <col min="10" max="10" width="17" style="22" bestFit="1" customWidth="1"/>
    <col min="11" max="11" width="0.5703125" style="22" customWidth="1"/>
    <col min="12" max="12" width="23.140625" style="22" bestFit="1" customWidth="1"/>
    <col min="13" max="13" width="9.140625" style="168"/>
    <col min="14" max="14" width="14.28515625" style="323" bestFit="1" customWidth="1"/>
    <col min="15" max="15" width="5.5703125" style="323" bestFit="1" customWidth="1"/>
    <col min="16" max="16" width="14.28515625" style="313" customWidth="1"/>
    <col min="17" max="17" width="11.28515625" style="313" bestFit="1" customWidth="1"/>
    <col min="18" max="18" width="14.28515625" style="313" bestFit="1" customWidth="1"/>
    <col min="19" max="19" width="9.140625" style="313"/>
    <col min="20" max="20" width="12.42578125" style="313" bestFit="1" customWidth="1"/>
    <col min="21" max="21" width="14.140625" style="313" bestFit="1" customWidth="1"/>
    <col min="22" max="25" width="9.140625" style="313"/>
    <col min="26" max="16384" width="9.140625" style="168"/>
  </cols>
  <sheetData>
    <row r="1" spans="1:25" ht="24.75">
      <c r="A1" s="211" t="s">
        <v>87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25" ht="24.75">
      <c r="A2" s="211" t="s">
        <v>52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25" ht="24.75">
      <c r="A3" s="211" t="str">
        <f>' سهام'!$A$3</f>
        <v>برای ماه منتهی به 1403/04/31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25" ht="24.75">
      <c r="A4" s="217" t="s">
        <v>61</v>
      </c>
      <c r="B4" s="217"/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5" ht="24.75" customHeight="1" thickBot="1">
      <c r="A5" s="324"/>
      <c r="B5" s="254" t="str">
        <f>'درآمد سرمایه گذاری در سهام '!C7</f>
        <v>طی تیر ماه</v>
      </c>
      <c r="C5" s="254"/>
      <c r="D5" s="254"/>
      <c r="E5" s="254"/>
      <c r="F5" s="254"/>
      <c r="G5" s="20"/>
      <c r="H5" s="254" t="str">
        <f>'درآمد سرمایه گذاری در سهام '!M7</f>
        <v>از ابتدای سال مالی تا پایان تیر ماه</v>
      </c>
      <c r="I5" s="254"/>
      <c r="J5" s="254"/>
      <c r="K5" s="254"/>
      <c r="L5" s="254"/>
    </row>
    <row r="6" spans="1:25" ht="46.5" customHeight="1" thickBot="1">
      <c r="A6" s="277" t="s">
        <v>33</v>
      </c>
      <c r="B6" s="21" t="s">
        <v>53</v>
      </c>
      <c r="C6" s="191"/>
      <c r="D6" s="21" t="s">
        <v>35</v>
      </c>
      <c r="E6" s="191"/>
      <c r="F6" s="21" t="s">
        <v>37</v>
      </c>
      <c r="G6" s="20"/>
      <c r="H6" s="21" t="s">
        <v>53</v>
      </c>
      <c r="I6" s="191"/>
      <c r="J6" s="21" t="s">
        <v>35</v>
      </c>
      <c r="K6" s="191"/>
      <c r="L6" s="21" t="s">
        <v>37</v>
      </c>
    </row>
    <row r="7" spans="1:25" s="153" customFormat="1" ht="46.5" customHeight="1">
      <c r="A7" s="325" t="s">
        <v>142</v>
      </c>
      <c r="B7" s="32">
        <v>4586300.5263157897</v>
      </c>
      <c r="C7" s="32"/>
      <c r="D7" s="32">
        <v>0</v>
      </c>
      <c r="E7" s="32"/>
      <c r="F7" s="32">
        <f>B7-D7</f>
        <v>4586300.5263157897</v>
      </c>
      <c r="G7" s="32"/>
      <c r="H7" s="32">
        <v>239849997.63157892</v>
      </c>
      <c r="I7" s="32"/>
      <c r="J7" s="32">
        <v>32874</v>
      </c>
      <c r="K7" s="32"/>
      <c r="L7" s="32">
        <f>H7-J7</f>
        <v>239817123.63157892</v>
      </c>
      <c r="M7" s="150"/>
      <c r="N7" s="326"/>
      <c r="O7" s="326"/>
      <c r="P7" s="304"/>
      <c r="Q7" s="304"/>
      <c r="R7" s="304"/>
      <c r="S7" s="304"/>
      <c r="T7" s="304"/>
      <c r="U7" s="304"/>
      <c r="V7" s="304"/>
      <c r="W7" s="304"/>
      <c r="X7" s="304"/>
      <c r="Y7" s="304"/>
    </row>
    <row r="8" spans="1:25" s="153" customFormat="1" ht="46.5" customHeight="1">
      <c r="A8" s="325" t="s">
        <v>153</v>
      </c>
      <c r="B8" s="32">
        <v>82133</v>
      </c>
      <c r="C8" s="32"/>
      <c r="D8" s="32">
        <v>0</v>
      </c>
      <c r="E8" s="32"/>
      <c r="F8" s="32">
        <f t="shared" ref="F8:F9" si="0">B8-D8</f>
        <v>82133</v>
      </c>
      <c r="G8" s="32"/>
      <c r="H8" s="32">
        <v>2164122</v>
      </c>
      <c r="I8" s="32"/>
      <c r="J8" s="32">
        <v>0</v>
      </c>
      <c r="K8" s="32"/>
      <c r="L8" s="32">
        <f t="shared" ref="L8:L9" si="1">H8-J8</f>
        <v>2164122</v>
      </c>
      <c r="M8" s="150"/>
      <c r="N8" s="326"/>
      <c r="O8" s="326"/>
      <c r="P8" s="304"/>
      <c r="Q8" s="304"/>
      <c r="R8" s="304"/>
      <c r="S8" s="304"/>
      <c r="T8" s="304"/>
      <c r="U8" s="304"/>
      <c r="V8" s="304"/>
      <c r="W8" s="304"/>
      <c r="X8" s="304"/>
      <c r="Y8" s="304"/>
    </row>
    <row r="9" spans="1:25" s="153" customFormat="1" ht="46.5" customHeight="1">
      <c r="A9" s="325" t="s">
        <v>96</v>
      </c>
      <c r="B9" s="32">
        <v>1229465.4736842103</v>
      </c>
      <c r="C9" s="32"/>
      <c r="D9" s="32">
        <v>0</v>
      </c>
      <c r="E9" s="32"/>
      <c r="F9" s="32">
        <f t="shared" si="0"/>
        <v>1229465.4736842103</v>
      </c>
      <c r="G9" s="32"/>
      <c r="H9" s="32">
        <v>64083136.368421078</v>
      </c>
      <c r="I9" s="32"/>
      <c r="J9" s="32">
        <v>0</v>
      </c>
      <c r="K9" s="32"/>
      <c r="L9" s="32">
        <f t="shared" si="1"/>
        <v>64083136.368421078</v>
      </c>
      <c r="M9" s="150"/>
      <c r="N9" s="326"/>
      <c r="O9" s="326"/>
      <c r="P9" s="304"/>
      <c r="Q9" s="304"/>
      <c r="R9" s="304"/>
      <c r="S9" s="304"/>
      <c r="T9" s="304"/>
      <c r="U9" s="304"/>
      <c r="V9" s="304"/>
      <c r="W9" s="304"/>
      <c r="X9" s="304"/>
      <c r="Y9" s="304"/>
    </row>
    <row r="10" spans="1:25" ht="47.45" customHeight="1" thickBot="1">
      <c r="A10" s="325"/>
      <c r="B10" s="77">
        <f>SUM(B7:B9)</f>
        <v>5897899</v>
      </c>
      <c r="C10" s="270"/>
      <c r="D10" s="77">
        <f>SUM(D7:D9)</f>
        <v>0</v>
      </c>
      <c r="E10" s="270"/>
      <c r="F10" s="77">
        <f>SUM(F7:F9)</f>
        <v>5897899</v>
      </c>
      <c r="G10" s="270"/>
      <c r="H10" s="77">
        <f>SUM(H7:H9)</f>
        <v>306097256</v>
      </c>
      <c r="I10" s="270"/>
      <c r="J10" s="77">
        <f>SUM(J7:J9)</f>
        <v>32874</v>
      </c>
      <c r="K10" s="78" t="e">
        <f>SUM(#REF!)</f>
        <v>#REF!</v>
      </c>
      <c r="L10" s="77">
        <f>SUM(L7:L9)</f>
        <v>306064382</v>
      </c>
    </row>
    <row r="11" spans="1:25" ht="22.5" thickTop="1">
      <c r="C11" s="153"/>
      <c r="E11" s="153"/>
      <c r="G11" s="153"/>
      <c r="I11" s="153"/>
    </row>
    <row r="12" spans="1:25" ht="21.75">
      <c r="C12" s="153"/>
      <c r="E12" s="153"/>
      <c r="G12" s="153"/>
      <c r="I12" s="153"/>
    </row>
    <row r="13" spans="1:25" s="32" customFormat="1" ht="24">
      <c r="N13" s="183"/>
      <c r="O13" s="183"/>
      <c r="P13" s="184"/>
      <c r="Q13" s="184"/>
      <c r="R13" s="184"/>
      <c r="S13" s="184"/>
      <c r="T13" s="184"/>
      <c r="U13" s="184"/>
      <c r="V13" s="184"/>
      <c r="W13" s="184"/>
      <c r="X13" s="184"/>
      <c r="Y13" s="184"/>
    </row>
    <row r="14" spans="1:25" s="32" customFormat="1" ht="24">
      <c r="N14" s="183"/>
      <c r="O14" s="183"/>
      <c r="P14" s="184"/>
      <c r="Q14" s="184"/>
      <c r="R14" s="184"/>
      <c r="S14" s="184"/>
      <c r="T14" s="184"/>
      <c r="U14" s="184"/>
      <c r="V14" s="184"/>
      <c r="W14" s="184"/>
      <c r="X14" s="184"/>
      <c r="Y14" s="184"/>
    </row>
    <row r="15" spans="1:25" s="32" customFormat="1" ht="24">
      <c r="N15" s="183"/>
      <c r="O15" s="183"/>
      <c r="P15" s="184"/>
      <c r="Q15" s="184"/>
      <c r="R15" s="184"/>
      <c r="S15" s="184"/>
      <c r="T15" s="184"/>
      <c r="U15" s="184"/>
      <c r="V15" s="184"/>
      <c r="W15" s="184"/>
      <c r="X15" s="184"/>
      <c r="Y15" s="184"/>
    </row>
    <row r="16" spans="1:25" s="32" customFormat="1" ht="24">
      <c r="N16" s="183"/>
      <c r="O16" s="183"/>
      <c r="P16" s="184"/>
      <c r="Q16" s="184"/>
      <c r="R16" s="184"/>
      <c r="S16" s="184"/>
      <c r="T16" s="184"/>
      <c r="U16" s="184"/>
      <c r="V16" s="184"/>
      <c r="W16" s="184"/>
      <c r="X16" s="184"/>
      <c r="Y16" s="184"/>
    </row>
    <row r="17" spans="1:25" s="136" customFormat="1" ht="24">
      <c r="B17" s="32"/>
      <c r="D17" s="20"/>
      <c r="F17" s="32"/>
      <c r="G17" s="20"/>
      <c r="H17" s="32"/>
      <c r="I17" s="20"/>
      <c r="J17" s="20"/>
      <c r="K17" s="20"/>
      <c r="L17" s="32"/>
      <c r="N17" s="327"/>
      <c r="O17" s="327"/>
      <c r="P17" s="328"/>
      <c r="Q17" s="328"/>
      <c r="R17" s="328"/>
      <c r="S17" s="328"/>
      <c r="T17" s="328"/>
      <c r="U17" s="328"/>
      <c r="V17" s="328"/>
      <c r="W17" s="328"/>
      <c r="X17" s="328"/>
      <c r="Y17" s="328"/>
    </row>
    <row r="18" spans="1:25" s="136" customFormat="1" ht="24">
      <c r="A18" s="329"/>
      <c r="B18" s="32"/>
      <c r="C18" s="20"/>
      <c r="D18" s="32"/>
      <c r="G18" s="20"/>
      <c r="H18" s="32"/>
      <c r="I18" s="20"/>
      <c r="J18" s="20"/>
      <c r="K18" s="20"/>
      <c r="L18" s="32"/>
      <c r="N18" s="327"/>
      <c r="O18" s="327"/>
      <c r="P18" s="328"/>
      <c r="Q18" s="328"/>
      <c r="R18" s="328"/>
      <c r="S18" s="328"/>
      <c r="T18" s="328"/>
      <c r="U18" s="328"/>
      <c r="V18" s="328"/>
      <c r="W18" s="328"/>
      <c r="X18" s="328"/>
      <c r="Y18" s="328"/>
    </row>
    <row r="19" spans="1:25" s="136" customFormat="1" ht="24">
      <c r="A19" s="329"/>
      <c r="B19" s="20"/>
      <c r="C19" s="20"/>
      <c r="D19" s="32"/>
      <c r="E19" s="20"/>
      <c r="G19" s="20"/>
      <c r="H19" s="20"/>
      <c r="I19" s="20"/>
      <c r="J19" s="20"/>
      <c r="K19" s="20"/>
      <c r="L19" s="32"/>
      <c r="N19" s="327"/>
      <c r="O19" s="327"/>
      <c r="P19" s="328"/>
      <c r="Q19" s="328"/>
      <c r="R19" s="328"/>
      <c r="S19" s="328"/>
      <c r="T19" s="328"/>
      <c r="U19" s="328"/>
      <c r="V19" s="328"/>
      <c r="W19" s="328"/>
      <c r="X19" s="328"/>
      <c r="Y19" s="328"/>
    </row>
    <row r="20" spans="1:25" s="136" customFormat="1" ht="24">
      <c r="A20" s="329"/>
      <c r="B20" s="20"/>
      <c r="C20" s="20"/>
      <c r="D20" s="32"/>
      <c r="E20" s="20"/>
      <c r="G20" s="20"/>
      <c r="H20" s="20"/>
      <c r="I20" s="20"/>
      <c r="J20" s="20"/>
      <c r="K20" s="20"/>
      <c r="L20" s="32"/>
      <c r="N20" s="327"/>
      <c r="O20" s="327"/>
      <c r="P20" s="328"/>
      <c r="Q20" s="328"/>
      <c r="R20" s="328"/>
      <c r="S20" s="328"/>
      <c r="T20" s="328"/>
      <c r="U20" s="328"/>
      <c r="V20" s="328"/>
      <c r="W20" s="328"/>
      <c r="X20" s="328"/>
      <c r="Y20" s="328"/>
    </row>
    <row r="21" spans="1:25" s="136" customFormat="1" ht="24">
      <c r="B21" s="20"/>
      <c r="C21" s="20"/>
      <c r="D21" s="32"/>
      <c r="E21" s="20"/>
      <c r="G21" s="20"/>
      <c r="H21" s="20"/>
      <c r="I21" s="20"/>
      <c r="J21" s="20"/>
      <c r="K21" s="20"/>
      <c r="L21" s="32"/>
      <c r="N21" s="327"/>
      <c r="O21" s="327"/>
      <c r="P21" s="328"/>
      <c r="Q21" s="328"/>
      <c r="R21" s="328"/>
      <c r="S21" s="328"/>
      <c r="T21" s="328"/>
      <c r="U21" s="328"/>
      <c r="V21" s="328"/>
      <c r="W21" s="328"/>
      <c r="X21" s="328"/>
      <c r="Y21" s="328"/>
    </row>
    <row r="22" spans="1:25" s="136" customFormat="1" ht="24">
      <c r="B22" s="20"/>
      <c r="C22" s="20"/>
      <c r="D22" s="32"/>
      <c r="E22" s="20"/>
      <c r="G22" s="20"/>
      <c r="H22" s="20"/>
      <c r="I22" s="20"/>
      <c r="J22" s="20"/>
      <c r="K22" s="20"/>
      <c r="L22" s="32"/>
      <c r="N22" s="327"/>
      <c r="O22" s="327"/>
      <c r="P22" s="328"/>
      <c r="Q22" s="328"/>
      <c r="R22" s="328"/>
      <c r="S22" s="328"/>
      <c r="T22" s="328"/>
      <c r="U22" s="328"/>
      <c r="V22" s="328"/>
      <c r="W22" s="328"/>
      <c r="X22" s="328"/>
      <c r="Y22" s="328"/>
    </row>
    <row r="23" spans="1:25" s="136" customFormat="1" ht="2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N23" s="327"/>
      <c r="O23" s="327"/>
      <c r="P23" s="328"/>
      <c r="Q23" s="328"/>
      <c r="R23" s="328"/>
      <c r="S23" s="328"/>
      <c r="T23" s="328"/>
      <c r="U23" s="328"/>
      <c r="V23" s="328"/>
      <c r="W23" s="328"/>
      <c r="X23" s="328"/>
      <c r="Y23" s="328"/>
    </row>
    <row r="24" spans="1:25" s="136" customFormat="1" ht="2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N24" s="327"/>
      <c r="O24" s="327"/>
      <c r="P24" s="328"/>
      <c r="Q24" s="328"/>
      <c r="R24" s="328"/>
      <c r="S24" s="328"/>
      <c r="T24" s="328"/>
      <c r="U24" s="328"/>
      <c r="V24" s="328"/>
      <c r="W24" s="328"/>
      <c r="X24" s="328"/>
      <c r="Y24" s="328"/>
    </row>
    <row r="25" spans="1:25" s="136" customFormat="1" ht="2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N25" s="327"/>
      <c r="O25" s="327"/>
      <c r="P25" s="328"/>
      <c r="Q25" s="328"/>
      <c r="R25" s="328"/>
      <c r="S25" s="328"/>
      <c r="T25" s="328"/>
      <c r="U25" s="328"/>
      <c r="V25" s="328"/>
      <c r="W25" s="328"/>
      <c r="X25" s="328"/>
      <c r="Y25" s="328"/>
    </row>
    <row r="26" spans="1:25" s="136" customFormat="1" ht="24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N26" s="327"/>
      <c r="O26" s="327"/>
      <c r="P26" s="328"/>
      <c r="Q26" s="328"/>
      <c r="R26" s="328"/>
      <c r="S26" s="328"/>
      <c r="T26" s="328"/>
      <c r="U26" s="328"/>
      <c r="V26" s="328"/>
      <c r="W26" s="328"/>
      <c r="X26" s="328"/>
      <c r="Y26" s="328"/>
    </row>
    <row r="27" spans="1:25" s="136" customFormat="1" ht="24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N27" s="327"/>
      <c r="O27" s="327"/>
      <c r="P27" s="328"/>
      <c r="Q27" s="328"/>
      <c r="R27" s="328"/>
      <c r="S27" s="328"/>
      <c r="T27" s="328"/>
      <c r="U27" s="328"/>
      <c r="V27" s="328"/>
      <c r="W27" s="328"/>
      <c r="X27" s="328"/>
      <c r="Y27" s="328"/>
    </row>
    <row r="28" spans="1:25" s="136" customFormat="1" ht="24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N28" s="327"/>
      <c r="O28" s="327"/>
      <c r="P28" s="328"/>
      <c r="Q28" s="328"/>
      <c r="R28" s="328"/>
      <c r="S28" s="328"/>
      <c r="T28" s="328"/>
      <c r="U28" s="328"/>
      <c r="V28" s="328"/>
      <c r="W28" s="328"/>
      <c r="X28" s="328"/>
      <c r="Y28" s="328"/>
    </row>
  </sheetData>
  <autoFilter ref="A6:L6" xr:uid="{00000000-0009-0000-0000-000005000000}">
    <sortState xmlns:xlrd2="http://schemas.microsoft.com/office/spreadsheetml/2017/richdata2" ref="A7:L14">
      <sortCondition descending="1" ref="L6"/>
    </sortState>
  </autoFilter>
  <mergeCells count="6">
    <mergeCell ref="A1:L1"/>
    <mergeCell ref="A2:L2"/>
    <mergeCell ref="A3:L3"/>
    <mergeCell ref="A4:B4"/>
    <mergeCell ref="B5:F5"/>
    <mergeCell ref="H5:L5"/>
  </mergeCells>
  <printOptions horizontalCentered="1"/>
  <pageMargins left="0.25" right="0.25" top="0.75" bottom="0.75" header="0.3" footer="0.3"/>
  <pageSetup paperSize="9"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A1:AA68"/>
  <sheetViews>
    <sheetView rightToLeft="1" view="pageBreakPreview" zoomScaleNormal="100" zoomScaleSheetLayoutView="100" workbookViewId="0">
      <selection activeCell="S13" sqref="S13"/>
    </sheetView>
  </sheetViews>
  <sheetFormatPr defaultColWidth="9.140625" defaultRowHeight="17.25"/>
  <cols>
    <col min="1" max="1" width="29.7109375" style="301" customWidth="1"/>
    <col min="2" max="2" width="1.140625" style="301" customWidth="1"/>
    <col min="3" max="3" width="11.28515625" style="301" bestFit="1" customWidth="1"/>
    <col min="4" max="4" width="0.85546875" style="301" customWidth="1"/>
    <col min="5" max="5" width="20.5703125" style="17" bestFit="1" customWidth="1"/>
    <col min="6" max="6" width="0.5703125" style="17" customWidth="1"/>
    <col min="7" max="7" width="16.5703125" style="17" bestFit="1" customWidth="1"/>
    <col min="8" max="8" width="0.85546875" style="17" customWidth="1"/>
    <col min="9" max="9" width="15.85546875" style="33" customWidth="1"/>
    <col min="10" max="10" width="0.5703125" style="33" customWidth="1"/>
    <col min="11" max="11" width="12.42578125" style="33" bestFit="1" customWidth="1"/>
    <col min="12" max="12" width="0.42578125" style="33" customWidth="1"/>
    <col min="13" max="13" width="20.42578125" style="33" bestFit="1" customWidth="1"/>
    <col min="14" max="14" width="0.42578125" style="33" customWidth="1"/>
    <col min="15" max="15" width="17.85546875" style="33" bestFit="1" customWidth="1"/>
    <col min="16" max="16" width="0.5703125" style="33" customWidth="1"/>
    <col min="17" max="17" width="18" style="33" customWidth="1"/>
    <col min="18" max="18" width="9.5703125" style="301" bestFit="1" customWidth="1"/>
    <col min="19" max="19" width="13.7109375" style="301" bestFit="1" customWidth="1"/>
    <col min="20" max="20" width="14.140625" style="301" customWidth="1"/>
    <col min="21" max="21" width="12.5703125" style="301" bestFit="1" customWidth="1"/>
    <col min="22" max="22" width="9.140625" style="301"/>
    <col min="23" max="23" width="9.5703125" style="301" bestFit="1" customWidth="1"/>
    <col min="24" max="25" width="12.5703125" style="301" bestFit="1" customWidth="1"/>
    <col min="26" max="16384" width="9.140625" style="301"/>
  </cols>
  <sheetData>
    <row r="1" spans="1:27" ht="22.5">
      <c r="A1" s="288" t="s">
        <v>87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27" ht="22.5">
      <c r="A2" s="288" t="s">
        <v>52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</row>
    <row r="3" spans="1:27" ht="22.5">
      <c r="A3" s="288" t="str">
        <f>' سهام'!$A$3</f>
        <v>برای ماه منتهی به 1403/04/31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</row>
    <row r="4" spans="1:27" ht="22.5">
      <c r="A4" s="330" t="s">
        <v>60</v>
      </c>
      <c r="B4" s="330"/>
      <c r="C4" s="330"/>
      <c r="D4" s="330"/>
      <c r="E4" s="330"/>
      <c r="F4" s="330"/>
      <c r="G4" s="330"/>
      <c r="H4" s="330"/>
      <c r="I4" s="330"/>
      <c r="J4" s="257"/>
      <c r="K4" s="257"/>
      <c r="L4" s="257"/>
      <c r="M4" s="257"/>
      <c r="N4" s="257"/>
      <c r="O4" s="257"/>
      <c r="P4" s="257"/>
      <c r="Q4" s="257"/>
    </row>
    <row r="5" spans="1:27" ht="20.25" customHeight="1" thickBot="1">
      <c r="A5" s="153"/>
      <c r="B5" s="153"/>
      <c r="C5" s="256" t="str">
        <f>'درآمد سرمایه گذاری در سهام '!C7</f>
        <v>طی تیر ماه</v>
      </c>
      <c r="D5" s="256"/>
      <c r="E5" s="256"/>
      <c r="F5" s="256"/>
      <c r="G5" s="256"/>
      <c r="H5" s="256"/>
      <c r="I5" s="256"/>
      <c r="J5" s="2"/>
      <c r="K5" s="256" t="str">
        <f>'درآمد سرمایه گذاری در سهام '!M7</f>
        <v>از ابتدای سال مالی تا پایان تیر ماه</v>
      </c>
      <c r="L5" s="256"/>
      <c r="M5" s="256"/>
      <c r="N5" s="256"/>
      <c r="O5" s="256"/>
      <c r="P5" s="256"/>
      <c r="Q5" s="256"/>
      <c r="Z5" s="315"/>
      <c r="AA5" s="315"/>
    </row>
    <row r="6" spans="1:27" ht="44.25" thickBot="1">
      <c r="A6" s="331" t="s">
        <v>33</v>
      </c>
      <c r="B6" s="331"/>
      <c r="C6" s="332" t="s">
        <v>3</v>
      </c>
      <c r="D6" s="331"/>
      <c r="E6" s="46" t="s">
        <v>41</v>
      </c>
      <c r="F6" s="47"/>
      <c r="G6" s="48" t="s">
        <v>38</v>
      </c>
      <c r="H6" s="47"/>
      <c r="I6" s="29" t="s">
        <v>42</v>
      </c>
      <c r="J6" s="2"/>
      <c r="K6" s="27" t="s">
        <v>3</v>
      </c>
      <c r="L6" s="28"/>
      <c r="M6" s="29" t="s">
        <v>18</v>
      </c>
      <c r="N6" s="28"/>
      <c r="O6" s="27" t="s">
        <v>38</v>
      </c>
      <c r="P6" s="28"/>
      <c r="Q6" s="29" t="s">
        <v>42</v>
      </c>
      <c r="Z6" s="315"/>
      <c r="AA6" s="315"/>
    </row>
    <row r="7" spans="1:27" s="333" customFormat="1" ht="21.75">
      <c r="A7" s="333" t="s">
        <v>105</v>
      </c>
      <c r="B7" s="334"/>
      <c r="C7" s="16">
        <f>IFERROR(VLOOKUP(A7,' سهام'!$A$10:$M$100,12,0),0)</f>
        <v>0</v>
      </c>
      <c r="D7" s="16"/>
      <c r="E7" s="16">
        <f>IFERROR(VLOOKUP(A7,' سهام'!$A$10:$M$99,13,0),0)</f>
        <v>0</v>
      </c>
      <c r="F7" s="16"/>
      <c r="G7" s="16">
        <v>0</v>
      </c>
      <c r="H7" s="16"/>
      <c r="I7" s="16">
        <f>E7-G7</f>
        <v>0</v>
      </c>
      <c r="J7" s="16"/>
      <c r="K7" s="16">
        <v>46180</v>
      </c>
      <c r="L7" s="16"/>
      <c r="M7" s="16">
        <v>1122218856</v>
      </c>
      <c r="N7" s="16"/>
      <c r="O7" s="16">
        <v>1057809459</v>
      </c>
      <c r="P7" s="16"/>
      <c r="Q7" s="16">
        <f>M7-O7</f>
        <v>64409397</v>
      </c>
    </row>
    <row r="8" spans="1:27" s="333" customFormat="1" ht="21.75">
      <c r="A8" s="333" t="s">
        <v>91</v>
      </c>
      <c r="B8" s="334"/>
      <c r="C8" s="16">
        <f>IFERROR(VLOOKUP(A8,' سهام'!$A$10:$M$100,12,0),0)</f>
        <v>0</v>
      </c>
      <c r="D8" s="16"/>
      <c r="E8" s="16">
        <f>IFERROR(VLOOKUP(A8,' سهام'!$A$10:$M$99,13,0),0)</f>
        <v>0</v>
      </c>
      <c r="F8" s="16"/>
      <c r="G8" s="16">
        <v>0</v>
      </c>
      <c r="H8" s="16"/>
      <c r="I8" s="16">
        <f t="shared" ref="I8:I38" si="0">E8-G8</f>
        <v>0</v>
      </c>
      <c r="J8" s="16"/>
      <c r="K8" s="16">
        <v>767369</v>
      </c>
      <c r="L8" s="16"/>
      <c r="M8" s="16">
        <v>13253217579</v>
      </c>
      <c r="N8" s="16"/>
      <c r="O8" s="16">
        <v>12848696490</v>
      </c>
      <c r="P8" s="16"/>
      <c r="Q8" s="16">
        <f t="shared" ref="Q8:Q38" si="1">M8-O8</f>
        <v>404521089</v>
      </c>
    </row>
    <row r="9" spans="1:27" s="333" customFormat="1" ht="21.75">
      <c r="A9" s="333" t="s">
        <v>95</v>
      </c>
      <c r="B9" s="334"/>
      <c r="C9" s="16">
        <f>IFERROR(VLOOKUP(A9,' سهام'!$A$10:$M$100,12,0),0)</f>
        <v>139500</v>
      </c>
      <c r="D9" s="16"/>
      <c r="E9" s="16">
        <f>IFERROR(VLOOKUP(A9,' سهام'!$A$10:$M$99,13,0),0)</f>
        <v>498871956</v>
      </c>
      <c r="F9" s="16"/>
      <c r="G9" s="16">
        <v>535606111</v>
      </c>
      <c r="H9" s="16"/>
      <c r="I9" s="16">
        <f t="shared" si="0"/>
        <v>-36734155</v>
      </c>
      <c r="J9" s="16"/>
      <c r="K9" s="16">
        <v>2484546</v>
      </c>
      <c r="L9" s="16"/>
      <c r="M9" s="16">
        <v>8779229949</v>
      </c>
      <c r="N9" s="16"/>
      <c r="O9" s="16">
        <v>9612495662</v>
      </c>
      <c r="P9" s="16"/>
      <c r="Q9" s="16">
        <f t="shared" si="1"/>
        <v>-833265713</v>
      </c>
    </row>
    <row r="10" spans="1:27" s="333" customFormat="1" ht="21.75">
      <c r="A10" s="333" t="s">
        <v>94</v>
      </c>
      <c r="B10" s="334"/>
      <c r="C10" s="16">
        <f>IFERROR(VLOOKUP(A10,' سهام'!$A$10:$M$100,12,0),0)</f>
        <v>0</v>
      </c>
      <c r="D10" s="16"/>
      <c r="E10" s="16">
        <f>IFERROR(VLOOKUP(A10,' سهام'!$A$10:$M$99,13,0),0)</f>
        <v>0</v>
      </c>
      <c r="F10" s="16"/>
      <c r="G10" s="16">
        <v>0</v>
      </c>
      <c r="H10" s="16"/>
      <c r="I10" s="16">
        <f t="shared" si="0"/>
        <v>0</v>
      </c>
      <c r="J10" s="16"/>
      <c r="K10" s="16">
        <v>1062210</v>
      </c>
      <c r="L10" s="16"/>
      <c r="M10" s="16">
        <v>10147613261</v>
      </c>
      <c r="N10" s="16"/>
      <c r="O10" s="16">
        <v>9441299265</v>
      </c>
      <c r="P10" s="16"/>
      <c r="Q10" s="16">
        <f t="shared" si="1"/>
        <v>706313996</v>
      </c>
    </row>
    <row r="11" spans="1:27" s="333" customFormat="1" ht="21.75">
      <c r="A11" s="333" t="s">
        <v>92</v>
      </c>
      <c r="B11" s="334"/>
      <c r="C11" s="16">
        <f>IFERROR(VLOOKUP(A11,' سهام'!$A$10:$M$100,12,0),0)</f>
        <v>4080</v>
      </c>
      <c r="D11" s="16"/>
      <c r="E11" s="16">
        <f>IFERROR(VLOOKUP(A11,' سهام'!$A$10:$M$99,13,0),0)</f>
        <v>199136060</v>
      </c>
      <c r="F11" s="16"/>
      <c r="G11" s="16">
        <v>180809203</v>
      </c>
      <c r="H11" s="16"/>
      <c r="I11" s="16">
        <f t="shared" si="0"/>
        <v>18326857</v>
      </c>
      <c r="J11" s="16"/>
      <c r="K11" s="16">
        <v>242547</v>
      </c>
      <c r="L11" s="16"/>
      <c r="M11" s="16">
        <v>11207999228</v>
      </c>
      <c r="N11" s="16"/>
      <c r="O11" s="16">
        <v>10716837087</v>
      </c>
      <c r="P11" s="16"/>
      <c r="Q11" s="16">
        <f t="shared" si="1"/>
        <v>491162141</v>
      </c>
    </row>
    <row r="12" spans="1:27" s="333" customFormat="1" ht="21.75">
      <c r="A12" s="333" t="s">
        <v>88</v>
      </c>
      <c r="B12" s="334"/>
      <c r="C12" s="16">
        <f>IFERROR(VLOOKUP(A12,' سهام'!$A$10:$M$100,12,0),0)</f>
        <v>0</v>
      </c>
      <c r="D12" s="16"/>
      <c r="E12" s="16">
        <f>IFERROR(VLOOKUP(A12,' سهام'!$A$10:$M$99,13,0),0)</f>
        <v>0</v>
      </c>
      <c r="F12" s="16"/>
      <c r="G12" s="16">
        <v>0</v>
      </c>
      <c r="H12" s="16"/>
      <c r="I12" s="16">
        <f t="shared" si="0"/>
        <v>0</v>
      </c>
      <c r="J12" s="16"/>
      <c r="K12" s="16">
        <v>1039256</v>
      </c>
      <c r="L12" s="16"/>
      <c r="M12" s="16">
        <v>11799793449</v>
      </c>
      <c r="N12" s="16"/>
      <c r="O12" s="16">
        <v>10927636755</v>
      </c>
      <c r="P12" s="16"/>
      <c r="Q12" s="16">
        <f t="shared" si="1"/>
        <v>872156694</v>
      </c>
    </row>
    <row r="13" spans="1:27" s="333" customFormat="1" ht="21.75">
      <c r="A13" s="333" t="s">
        <v>102</v>
      </c>
      <c r="B13" s="334"/>
      <c r="C13" s="16">
        <f>IFERROR(VLOOKUP(A13,' سهام'!$A$10:$M$100,12,0),0)</f>
        <v>0</v>
      </c>
      <c r="D13" s="16"/>
      <c r="E13" s="16">
        <f>IFERROR(VLOOKUP(A13,' سهام'!$A$10:$M$99,13,0),0)</f>
        <v>0</v>
      </c>
      <c r="F13" s="16"/>
      <c r="G13" s="16">
        <v>0</v>
      </c>
      <c r="H13" s="16"/>
      <c r="I13" s="16">
        <f t="shared" si="0"/>
        <v>0</v>
      </c>
      <c r="J13" s="16"/>
      <c r="K13" s="16">
        <v>51632</v>
      </c>
      <c r="L13" s="16"/>
      <c r="M13" s="16">
        <v>1395221188</v>
      </c>
      <c r="N13" s="16"/>
      <c r="O13" s="16">
        <v>1119596477</v>
      </c>
      <c r="P13" s="16"/>
      <c r="Q13" s="16">
        <f t="shared" si="1"/>
        <v>275624711</v>
      </c>
    </row>
    <row r="14" spans="1:27" s="333" customFormat="1" ht="21.75">
      <c r="A14" s="333" t="s">
        <v>90</v>
      </c>
      <c r="B14" s="334"/>
      <c r="C14" s="16">
        <f>IFERROR(VLOOKUP(A14,' سهام'!$A$10:$M$100,12,0),0)</f>
        <v>11800</v>
      </c>
      <c r="D14" s="16"/>
      <c r="E14" s="16">
        <f>IFERROR(VLOOKUP(A14,' سهام'!$A$10:$M$99,13,0),0)</f>
        <v>200299323</v>
      </c>
      <c r="F14" s="16"/>
      <c r="G14" s="16">
        <v>218684475</v>
      </c>
      <c r="H14" s="16"/>
      <c r="I14" s="16">
        <f t="shared" si="0"/>
        <v>-18385152</v>
      </c>
      <c r="J14" s="16"/>
      <c r="K14" s="16">
        <v>231915</v>
      </c>
      <c r="L14" s="16"/>
      <c r="M14" s="16">
        <v>4148959528</v>
      </c>
      <c r="N14" s="16"/>
      <c r="O14" s="16">
        <v>4348959726</v>
      </c>
      <c r="P14" s="16"/>
      <c r="Q14" s="16">
        <f t="shared" si="1"/>
        <v>-200000198</v>
      </c>
    </row>
    <row r="15" spans="1:27" s="333" customFormat="1" ht="21.75">
      <c r="A15" s="333" t="s">
        <v>93</v>
      </c>
      <c r="B15" s="334"/>
      <c r="C15" s="16">
        <f>IFERROR(VLOOKUP(A15,' سهام'!$A$10:$M$100,12,0),0)</f>
        <v>62500</v>
      </c>
      <c r="D15" s="16"/>
      <c r="E15" s="16">
        <f>IFERROR(VLOOKUP(A15,' سهام'!$A$10:$M$99,13,0),0)</f>
        <v>497025000</v>
      </c>
      <c r="F15" s="16"/>
      <c r="G15" s="16">
        <v>536582083</v>
      </c>
      <c r="H15" s="16"/>
      <c r="I15" s="16">
        <f t="shared" si="0"/>
        <v>-39557083</v>
      </c>
      <c r="J15" s="16"/>
      <c r="K15" s="16">
        <v>602898</v>
      </c>
      <c r="L15" s="16"/>
      <c r="M15" s="16">
        <v>5194471827</v>
      </c>
      <c r="N15" s="16"/>
      <c r="O15" s="16">
        <v>5346563724</v>
      </c>
      <c r="P15" s="16"/>
      <c r="Q15" s="16">
        <f t="shared" si="1"/>
        <v>-152091897</v>
      </c>
    </row>
    <row r="16" spans="1:27" s="333" customFormat="1" ht="21.75">
      <c r="A16" s="333" t="s">
        <v>89</v>
      </c>
      <c r="B16" s="334"/>
      <c r="C16" s="16">
        <f>IFERROR(VLOOKUP(A16,' سهام'!$A$10:$M$100,12,0),0)</f>
        <v>0</v>
      </c>
      <c r="D16" s="16"/>
      <c r="E16" s="16">
        <f>IFERROR(VLOOKUP(A16,' سهام'!$A$10:$M$99,13,0),0)</f>
        <v>0</v>
      </c>
      <c r="F16" s="16"/>
      <c r="G16" s="16">
        <v>0</v>
      </c>
      <c r="H16" s="16"/>
      <c r="I16" s="16">
        <f t="shared" si="0"/>
        <v>0</v>
      </c>
      <c r="J16" s="16"/>
      <c r="K16" s="16">
        <v>550039</v>
      </c>
      <c r="L16" s="16"/>
      <c r="M16" s="16">
        <v>12354115059</v>
      </c>
      <c r="N16" s="16"/>
      <c r="O16" s="16">
        <v>11186837847</v>
      </c>
      <c r="P16" s="16"/>
      <c r="Q16" s="16">
        <f t="shared" si="1"/>
        <v>1167277212</v>
      </c>
    </row>
    <row r="17" spans="1:17" s="333" customFormat="1" ht="21.75">
      <c r="A17" s="333" t="s">
        <v>111</v>
      </c>
      <c r="B17" s="334"/>
      <c r="C17" s="16">
        <f>IFERROR(VLOOKUP(A17,' سهام'!$A$10:$M$100,12,0),0)</f>
        <v>148000</v>
      </c>
      <c r="D17" s="16"/>
      <c r="E17" s="16">
        <f>IFERROR(VLOOKUP(A17,' سهام'!$A$10:$M$99,13,0),0)</f>
        <v>398451737</v>
      </c>
      <c r="F17" s="16"/>
      <c r="G17" s="16">
        <v>458576507</v>
      </c>
      <c r="H17" s="16"/>
      <c r="I17" s="16">
        <f t="shared" si="0"/>
        <v>-60124770</v>
      </c>
      <c r="J17" s="16"/>
      <c r="K17" s="16">
        <v>2810860</v>
      </c>
      <c r="L17" s="16"/>
      <c r="M17" s="16">
        <v>7741637904</v>
      </c>
      <c r="N17" s="16"/>
      <c r="O17" s="16">
        <v>8705486763</v>
      </c>
      <c r="P17" s="16"/>
      <c r="Q17" s="16">
        <f t="shared" si="1"/>
        <v>-963848859</v>
      </c>
    </row>
    <row r="18" spans="1:17" s="333" customFormat="1" ht="21.75">
      <c r="A18" s="333" t="s">
        <v>101</v>
      </c>
      <c r="B18" s="334"/>
      <c r="C18" s="16">
        <f>IFERROR(VLOOKUP(A18,' سهام'!$A$10:$M$100,12,0),0)</f>
        <v>0</v>
      </c>
      <c r="D18" s="16"/>
      <c r="E18" s="16">
        <f>IFERROR(VLOOKUP(A18,' سهام'!$A$10:$M$99,13,0),0)</f>
        <v>0</v>
      </c>
      <c r="F18" s="16"/>
      <c r="G18" s="16">
        <v>0</v>
      </c>
      <c r="H18" s="16"/>
      <c r="I18" s="16">
        <f t="shared" si="0"/>
        <v>0</v>
      </c>
      <c r="J18" s="16"/>
      <c r="K18" s="16">
        <v>397342</v>
      </c>
      <c r="L18" s="16"/>
      <c r="M18" s="16">
        <v>5619181440</v>
      </c>
      <c r="N18" s="16"/>
      <c r="O18" s="16">
        <v>5383547622</v>
      </c>
      <c r="P18" s="16"/>
      <c r="Q18" s="16">
        <f t="shared" si="1"/>
        <v>235633818</v>
      </c>
    </row>
    <row r="19" spans="1:17" s="333" customFormat="1" ht="21.75">
      <c r="A19" s="333" t="s">
        <v>103</v>
      </c>
      <c r="B19" s="334"/>
      <c r="C19" s="16">
        <f>IFERROR(VLOOKUP(A19,' سهام'!$A$10:$M$100,12,0),0)</f>
        <v>0</v>
      </c>
      <c r="D19" s="16"/>
      <c r="E19" s="16">
        <f>IFERROR(VLOOKUP(A19,' سهام'!$A$10:$M$99,13,0),0)</f>
        <v>0</v>
      </c>
      <c r="F19" s="16"/>
      <c r="G19" s="16">
        <v>0</v>
      </c>
      <c r="H19" s="16"/>
      <c r="I19" s="16">
        <f t="shared" si="0"/>
        <v>0</v>
      </c>
      <c r="J19" s="16"/>
      <c r="K19" s="16">
        <v>157022</v>
      </c>
      <c r="L19" s="16"/>
      <c r="M19" s="16">
        <v>2576720061</v>
      </c>
      <c r="N19" s="16"/>
      <c r="O19" s="16">
        <v>2274507427</v>
      </c>
      <c r="P19" s="16"/>
      <c r="Q19" s="16">
        <f t="shared" si="1"/>
        <v>302212634</v>
      </c>
    </row>
    <row r="20" spans="1:17" s="333" customFormat="1" ht="21.75">
      <c r="A20" s="333" t="s">
        <v>100</v>
      </c>
      <c r="B20" s="334"/>
      <c r="C20" s="16">
        <f>IFERROR(VLOOKUP(A20,' سهام'!$A$10:$M$100,12,0),0)</f>
        <v>0</v>
      </c>
      <c r="D20" s="16"/>
      <c r="E20" s="16">
        <f>IFERROR(VLOOKUP(A20,' سهام'!$A$10:$M$99,13,0),0)</f>
        <v>0</v>
      </c>
      <c r="F20" s="16"/>
      <c r="G20" s="16">
        <v>0</v>
      </c>
      <c r="H20" s="16"/>
      <c r="I20" s="16">
        <f t="shared" si="0"/>
        <v>0</v>
      </c>
      <c r="J20" s="16"/>
      <c r="K20" s="16">
        <v>14840979</v>
      </c>
      <c r="L20" s="16"/>
      <c r="M20" s="16">
        <v>76207760308</v>
      </c>
      <c r="N20" s="16"/>
      <c r="O20" s="16">
        <v>71388225970</v>
      </c>
      <c r="P20" s="16"/>
      <c r="Q20" s="16">
        <f t="shared" si="1"/>
        <v>4819534338</v>
      </c>
    </row>
    <row r="21" spans="1:17" s="333" customFormat="1" ht="21.75">
      <c r="A21" s="333" t="s">
        <v>106</v>
      </c>
      <c r="B21" s="334"/>
      <c r="C21" s="16">
        <f>IFERROR(VLOOKUP(A21,' سهام'!$A$10:$M$100,12,0),0)</f>
        <v>0</v>
      </c>
      <c r="D21" s="16"/>
      <c r="E21" s="16">
        <f>IFERROR(VLOOKUP(A21,' سهام'!$A$10:$M$99,13,0),0)</f>
        <v>0</v>
      </c>
      <c r="F21" s="16"/>
      <c r="G21" s="16">
        <v>0</v>
      </c>
      <c r="H21" s="16"/>
      <c r="I21" s="16">
        <f t="shared" si="0"/>
        <v>0</v>
      </c>
      <c r="J21" s="16"/>
      <c r="K21" s="16">
        <v>4559</v>
      </c>
      <c r="L21" s="16"/>
      <c r="M21" s="16">
        <v>111655142</v>
      </c>
      <c r="N21" s="16"/>
      <c r="O21" s="16">
        <v>119550839</v>
      </c>
      <c r="P21" s="16"/>
      <c r="Q21" s="16">
        <f t="shared" si="1"/>
        <v>-7895697</v>
      </c>
    </row>
    <row r="22" spans="1:17" s="333" customFormat="1" ht="21.75">
      <c r="A22" s="333" t="s">
        <v>104</v>
      </c>
      <c r="B22" s="334"/>
      <c r="C22" s="16">
        <f>IFERROR(VLOOKUP(A22,' سهام'!$A$10:$M$100,12,0),0)</f>
        <v>0</v>
      </c>
      <c r="D22" s="16"/>
      <c r="E22" s="16">
        <f>IFERROR(VLOOKUP(A22,' سهام'!$A$10:$M$99,13,0),0)</f>
        <v>0</v>
      </c>
      <c r="F22" s="16"/>
      <c r="G22" s="16">
        <v>0</v>
      </c>
      <c r="H22" s="16"/>
      <c r="I22" s="16">
        <f t="shared" si="0"/>
        <v>0</v>
      </c>
      <c r="J22" s="16"/>
      <c r="K22" s="16">
        <v>7881</v>
      </c>
      <c r="L22" s="16"/>
      <c r="M22" s="16">
        <v>722013777</v>
      </c>
      <c r="N22" s="16"/>
      <c r="O22" s="16">
        <v>627198694</v>
      </c>
      <c r="P22" s="16"/>
      <c r="Q22" s="16">
        <f t="shared" si="1"/>
        <v>94815083</v>
      </c>
    </row>
    <row r="23" spans="1:17" s="333" customFormat="1" ht="21.75">
      <c r="A23" s="333" t="s">
        <v>99</v>
      </c>
      <c r="B23" s="334"/>
      <c r="C23" s="16">
        <f>IFERROR(VLOOKUP(A23,' سهام'!$A$10:$M$100,12,0),0)</f>
        <v>0</v>
      </c>
      <c r="D23" s="16"/>
      <c r="E23" s="16">
        <f>IFERROR(VLOOKUP(A23,' سهام'!$A$10:$M$99,13,0),0)</f>
        <v>0</v>
      </c>
      <c r="F23" s="16"/>
      <c r="G23" s="16">
        <v>0</v>
      </c>
      <c r="H23" s="16"/>
      <c r="I23" s="16">
        <f t="shared" si="0"/>
        <v>0</v>
      </c>
      <c r="J23" s="16"/>
      <c r="K23" s="16">
        <v>34321</v>
      </c>
      <c r="L23" s="16"/>
      <c r="M23" s="16">
        <v>1084385524</v>
      </c>
      <c r="N23" s="16"/>
      <c r="O23" s="16">
        <v>1003654465</v>
      </c>
      <c r="P23" s="16"/>
      <c r="Q23" s="16">
        <f t="shared" si="1"/>
        <v>80731059</v>
      </c>
    </row>
    <row r="24" spans="1:17" s="333" customFormat="1" ht="21.75">
      <c r="A24" s="333" t="s">
        <v>107</v>
      </c>
      <c r="B24" s="334"/>
      <c r="C24" s="16">
        <f>IFERROR(VLOOKUP(A24,' سهام'!$A$10:$M$100,12,0),0)</f>
        <v>0</v>
      </c>
      <c r="D24" s="16"/>
      <c r="E24" s="16">
        <f>IFERROR(VLOOKUP(A24,' سهام'!$A$10:$M$99,13,0),0)</f>
        <v>0</v>
      </c>
      <c r="F24" s="16"/>
      <c r="G24" s="16">
        <v>0</v>
      </c>
      <c r="H24" s="16"/>
      <c r="I24" s="16">
        <f t="shared" si="0"/>
        <v>0</v>
      </c>
      <c r="J24" s="16"/>
      <c r="K24" s="16">
        <v>5650000</v>
      </c>
      <c r="L24" s="16"/>
      <c r="M24" s="16">
        <v>30879904020</v>
      </c>
      <c r="N24" s="16"/>
      <c r="O24" s="16">
        <v>30272301675</v>
      </c>
      <c r="P24" s="16"/>
      <c r="Q24" s="16">
        <f t="shared" si="1"/>
        <v>607602345</v>
      </c>
    </row>
    <row r="25" spans="1:17" s="333" customFormat="1" ht="21.75">
      <c r="A25" s="333" t="s">
        <v>110</v>
      </c>
      <c r="B25" s="334"/>
      <c r="C25" s="16">
        <f>IFERROR(VLOOKUP(A25,' سهام'!$A$10:$M$100,12,0),0)</f>
        <v>0</v>
      </c>
      <c r="D25" s="16"/>
      <c r="E25" s="16">
        <f>IFERROR(VLOOKUP(A25,' سهام'!$A$10:$M$99,13,0),0)</f>
        <v>0</v>
      </c>
      <c r="F25" s="16"/>
      <c r="G25" s="16">
        <v>0</v>
      </c>
      <c r="H25" s="16"/>
      <c r="I25" s="16">
        <f t="shared" si="0"/>
        <v>0</v>
      </c>
      <c r="J25" s="16"/>
      <c r="K25" s="16">
        <v>387330</v>
      </c>
      <c r="L25" s="16"/>
      <c r="M25" s="16">
        <v>3399842917</v>
      </c>
      <c r="N25" s="16"/>
      <c r="O25" s="16">
        <v>3137902249</v>
      </c>
      <c r="P25" s="16"/>
      <c r="Q25" s="16">
        <f t="shared" si="1"/>
        <v>261940668</v>
      </c>
    </row>
    <row r="26" spans="1:17" s="333" customFormat="1" ht="21.75">
      <c r="A26" s="333" t="s">
        <v>121</v>
      </c>
      <c r="B26" s="334"/>
      <c r="C26" s="16">
        <f>IFERROR(VLOOKUP(A26,' سهام'!$A$10:$M$100,12,0),0)</f>
        <v>0</v>
      </c>
      <c r="D26" s="16"/>
      <c r="E26" s="16">
        <f>IFERROR(VLOOKUP(A26,' سهام'!$A$10:$M$99,13,0),0)</f>
        <v>0</v>
      </c>
      <c r="F26" s="16"/>
      <c r="G26" s="16">
        <v>0</v>
      </c>
      <c r="H26" s="16"/>
      <c r="I26" s="16">
        <f t="shared" si="0"/>
        <v>0</v>
      </c>
      <c r="J26" s="16"/>
      <c r="K26" s="16">
        <v>140726</v>
      </c>
      <c r="L26" s="16"/>
      <c r="M26" s="16">
        <v>1774926111</v>
      </c>
      <c r="N26" s="16"/>
      <c r="O26" s="16">
        <v>1832662155</v>
      </c>
      <c r="P26" s="16"/>
      <c r="Q26" s="16">
        <f t="shared" si="1"/>
        <v>-57736044</v>
      </c>
    </row>
    <row r="27" spans="1:17" s="333" customFormat="1" ht="21.75">
      <c r="A27" s="333" t="s">
        <v>124</v>
      </c>
      <c r="B27" s="334"/>
      <c r="C27" s="16">
        <f>IFERROR(VLOOKUP(A27,' سهام'!$A$10:$M$100,12,0),0)</f>
        <v>0</v>
      </c>
      <c r="D27" s="16"/>
      <c r="E27" s="16">
        <f>IFERROR(VLOOKUP(A27,' سهام'!$A$10:$M$99,13,0),0)</f>
        <v>0</v>
      </c>
      <c r="F27" s="16"/>
      <c r="G27" s="16">
        <v>0</v>
      </c>
      <c r="H27" s="16"/>
      <c r="I27" s="16">
        <f t="shared" si="0"/>
        <v>0</v>
      </c>
      <c r="J27" s="16"/>
      <c r="K27" s="16">
        <v>3230054</v>
      </c>
      <c r="L27" s="16"/>
      <c r="M27" s="16">
        <v>3502911920</v>
      </c>
      <c r="N27" s="16"/>
      <c r="O27" s="16">
        <v>3886861033</v>
      </c>
      <c r="P27" s="16"/>
      <c r="Q27" s="16">
        <f t="shared" si="1"/>
        <v>-383949113</v>
      </c>
    </row>
    <row r="28" spans="1:17" s="333" customFormat="1" ht="21.75">
      <c r="A28" s="333" t="s">
        <v>126</v>
      </c>
      <c r="B28" s="334"/>
      <c r="C28" s="16">
        <f>IFERROR(VLOOKUP(A28,' سهام'!$A$10:$M$100,12,0),0)</f>
        <v>0</v>
      </c>
      <c r="D28" s="16"/>
      <c r="E28" s="16">
        <f>IFERROR(VLOOKUP(A28,' سهام'!$A$10:$M$99,13,0),0)</f>
        <v>0</v>
      </c>
      <c r="F28" s="16"/>
      <c r="G28" s="16">
        <v>0</v>
      </c>
      <c r="H28" s="16"/>
      <c r="I28" s="16">
        <f t="shared" si="0"/>
        <v>0</v>
      </c>
      <c r="J28" s="16"/>
      <c r="K28" s="16">
        <v>200000</v>
      </c>
      <c r="L28" s="16"/>
      <c r="M28" s="16">
        <v>2401624842</v>
      </c>
      <c r="N28" s="16"/>
      <c r="O28" s="16">
        <v>1691534520</v>
      </c>
      <c r="P28" s="16"/>
      <c r="Q28" s="16">
        <f t="shared" si="1"/>
        <v>710090322</v>
      </c>
    </row>
    <row r="29" spans="1:17" s="333" customFormat="1" ht="21.75">
      <c r="A29" s="333" t="s">
        <v>122</v>
      </c>
      <c r="B29" s="334"/>
      <c r="C29" s="16">
        <f>IFERROR(VLOOKUP(A29,' سهام'!$A$10:$M$100,12,0),0)</f>
        <v>0</v>
      </c>
      <c r="D29" s="16"/>
      <c r="E29" s="16">
        <f>IFERROR(VLOOKUP(A29,' سهام'!$A$10:$M$99,13,0),0)</f>
        <v>0</v>
      </c>
      <c r="F29" s="16"/>
      <c r="G29" s="16">
        <v>0</v>
      </c>
      <c r="H29" s="16"/>
      <c r="I29" s="16">
        <f t="shared" si="0"/>
        <v>0</v>
      </c>
      <c r="J29" s="16"/>
      <c r="K29" s="16">
        <v>600000</v>
      </c>
      <c r="L29" s="16"/>
      <c r="M29" s="16">
        <v>14514620253</v>
      </c>
      <c r="N29" s="16"/>
      <c r="O29" s="16">
        <v>12411259200</v>
      </c>
      <c r="P29" s="16"/>
      <c r="Q29" s="16">
        <f t="shared" si="1"/>
        <v>2103361053</v>
      </c>
    </row>
    <row r="30" spans="1:17" s="333" customFormat="1" ht="21.75">
      <c r="A30" s="333" t="s">
        <v>125</v>
      </c>
      <c r="B30" s="334"/>
      <c r="C30" s="16">
        <f>IFERROR(VLOOKUP(A30,' سهام'!$A$10:$M$100,12,0),0)</f>
        <v>0</v>
      </c>
      <c r="D30" s="16"/>
      <c r="E30" s="16">
        <f>IFERROR(VLOOKUP(A30,' سهام'!$A$10:$M$99,13,0),0)</f>
        <v>0</v>
      </c>
      <c r="F30" s="16"/>
      <c r="G30" s="16">
        <v>0</v>
      </c>
      <c r="H30" s="16"/>
      <c r="I30" s="16">
        <f t="shared" si="0"/>
        <v>0</v>
      </c>
      <c r="J30" s="16"/>
      <c r="K30" s="16">
        <v>114500</v>
      </c>
      <c r="L30" s="16"/>
      <c r="M30" s="16">
        <v>9197157308</v>
      </c>
      <c r="N30" s="16"/>
      <c r="O30" s="16">
        <v>7563861753</v>
      </c>
      <c r="P30" s="16"/>
      <c r="Q30" s="16">
        <f t="shared" si="1"/>
        <v>1633295555</v>
      </c>
    </row>
    <row r="31" spans="1:17" s="333" customFormat="1" ht="21.75">
      <c r="A31" s="333" t="s">
        <v>123</v>
      </c>
      <c r="B31" s="334"/>
      <c r="C31" s="16">
        <f>IFERROR(VLOOKUP(A31,' سهام'!$A$10:$M$100,12,0),0)</f>
        <v>0</v>
      </c>
      <c r="D31" s="16"/>
      <c r="E31" s="16">
        <f>IFERROR(VLOOKUP(A31,' سهام'!$A$10:$M$99,13,0),0)</f>
        <v>0</v>
      </c>
      <c r="F31" s="16"/>
      <c r="G31" s="16">
        <v>0</v>
      </c>
      <c r="H31" s="16"/>
      <c r="I31" s="16">
        <f t="shared" si="0"/>
        <v>0</v>
      </c>
      <c r="J31" s="16"/>
      <c r="K31" s="16">
        <v>7426</v>
      </c>
      <c r="L31" s="16"/>
      <c r="M31" s="16">
        <v>158738837</v>
      </c>
      <c r="N31" s="16"/>
      <c r="O31" s="16">
        <v>128331099</v>
      </c>
      <c r="P31" s="16"/>
      <c r="Q31" s="16">
        <f t="shared" si="1"/>
        <v>30407738</v>
      </c>
    </row>
    <row r="32" spans="1:17" s="333" customFormat="1" ht="21.75">
      <c r="A32" s="333" t="s">
        <v>140</v>
      </c>
      <c r="B32" s="334"/>
      <c r="C32" s="16">
        <f>IFERROR(VLOOKUP(A32,' سهام'!$A$10:$M$100,12,0),0)</f>
        <v>0</v>
      </c>
      <c r="D32" s="16"/>
      <c r="E32" s="16">
        <f>IFERROR(VLOOKUP(A32,' سهام'!$A$10:$M$99,13,0),0)</f>
        <v>0</v>
      </c>
      <c r="F32" s="16"/>
      <c r="G32" s="16">
        <v>0</v>
      </c>
      <c r="H32" s="16"/>
      <c r="I32" s="16">
        <f t="shared" si="0"/>
        <v>0</v>
      </c>
      <c r="J32" s="16"/>
      <c r="K32" s="16">
        <v>9401</v>
      </c>
      <c r="L32" s="16"/>
      <c r="M32" s="16">
        <v>175530235</v>
      </c>
      <c r="N32" s="16"/>
      <c r="O32" s="16">
        <v>182673364</v>
      </c>
      <c r="P32" s="16"/>
      <c r="Q32" s="16">
        <f t="shared" si="1"/>
        <v>-7143129</v>
      </c>
    </row>
    <row r="33" spans="1:17" s="333" customFormat="1" ht="21.75">
      <c r="A33" s="333" t="s">
        <v>141</v>
      </c>
      <c r="B33" s="334"/>
      <c r="C33" s="16">
        <f>IFERROR(VLOOKUP(A33,' سهام'!$A$10:$M$100,12,0),0)</f>
        <v>90000</v>
      </c>
      <c r="D33" s="16"/>
      <c r="E33" s="16">
        <f>IFERROR(VLOOKUP(A33,' سهام'!$A$10:$M$99,13,0),0)</f>
        <v>1086017312</v>
      </c>
      <c r="F33" s="16"/>
      <c r="G33" s="16">
        <v>918833544</v>
      </c>
      <c r="H33" s="16"/>
      <c r="I33" s="16">
        <f t="shared" si="0"/>
        <v>167183768</v>
      </c>
      <c r="J33" s="16"/>
      <c r="K33" s="16">
        <v>90000</v>
      </c>
      <c r="L33" s="16"/>
      <c r="M33" s="16">
        <v>1086017312</v>
      </c>
      <c r="N33" s="16"/>
      <c r="O33" s="16">
        <v>918833544</v>
      </c>
      <c r="P33" s="16"/>
      <c r="Q33" s="16">
        <f t="shared" si="1"/>
        <v>167183768</v>
      </c>
    </row>
    <row r="34" spans="1:17" s="333" customFormat="1" ht="21.75">
      <c r="A34" s="333" t="s">
        <v>151</v>
      </c>
      <c r="B34" s="334"/>
      <c r="C34" s="16">
        <f>IFERROR(VLOOKUP(A34,' سهام'!$A$10:$M$100,12,0),0)</f>
        <v>0</v>
      </c>
      <c r="D34" s="16"/>
      <c r="E34" s="16">
        <f>IFERROR(VLOOKUP(A34,' سهام'!$A$10:$M$99,13,0),0)</f>
        <v>0</v>
      </c>
      <c r="F34" s="16"/>
      <c r="G34" s="16">
        <v>0</v>
      </c>
      <c r="H34" s="16"/>
      <c r="I34" s="16">
        <f t="shared" si="0"/>
        <v>0</v>
      </c>
      <c r="J34" s="16"/>
      <c r="K34" s="16">
        <v>29443</v>
      </c>
      <c r="L34" s="16"/>
      <c r="M34" s="16">
        <v>194822669</v>
      </c>
      <c r="N34" s="16"/>
      <c r="O34" s="16">
        <v>320949162</v>
      </c>
      <c r="P34" s="16"/>
      <c r="Q34" s="16">
        <f t="shared" si="1"/>
        <v>-126126493</v>
      </c>
    </row>
    <row r="35" spans="1:17" s="333" customFormat="1" ht="21.75">
      <c r="A35" s="333" t="s">
        <v>108</v>
      </c>
      <c r="B35" s="334"/>
      <c r="C35" s="16">
        <f>IFERROR(VLOOKUP(A35,اوراق!$A$9:$W$48,22,0),0)</f>
        <v>0</v>
      </c>
      <c r="D35" s="16"/>
      <c r="E35" s="16">
        <f>IFERROR(VLOOKUP(A35,اوراق!$A$9:$AG$48,23,0),0)</f>
        <v>0</v>
      </c>
      <c r="F35" s="16"/>
      <c r="G35" s="16">
        <v>0</v>
      </c>
      <c r="H35" s="16"/>
      <c r="I35" s="16">
        <f t="shared" si="0"/>
        <v>0</v>
      </c>
      <c r="J35" s="16"/>
      <c r="K35" s="16">
        <v>6500</v>
      </c>
      <c r="L35" s="16"/>
      <c r="M35" s="16">
        <v>4649416185</v>
      </c>
      <c r="N35" s="16"/>
      <c r="O35" s="16">
        <v>4511808615</v>
      </c>
      <c r="P35" s="16"/>
      <c r="Q35" s="16">
        <f t="shared" si="1"/>
        <v>137607570</v>
      </c>
    </row>
    <row r="36" spans="1:17" s="333" customFormat="1" ht="21.75">
      <c r="A36" s="333" t="s">
        <v>112</v>
      </c>
      <c r="B36" s="334"/>
      <c r="C36" s="16">
        <f>IFERROR(VLOOKUP(A36,اوراق!$A$9:$W$48,22,0),0)</f>
        <v>400</v>
      </c>
      <c r="D36" s="16"/>
      <c r="E36" s="16">
        <f>IFERROR(VLOOKUP(A36,اوراق!$A$9:$AG$48,23,0),0)</f>
        <v>300265568</v>
      </c>
      <c r="F36" s="16"/>
      <c r="G36" s="16">
        <v>269645662</v>
      </c>
      <c r="H36" s="16"/>
      <c r="I36" s="16">
        <f t="shared" si="0"/>
        <v>30619906</v>
      </c>
      <c r="J36" s="16"/>
      <c r="K36" s="16">
        <v>16180</v>
      </c>
      <c r="L36" s="16"/>
      <c r="M36" s="16">
        <v>11040760315</v>
      </c>
      <c r="N36" s="16"/>
      <c r="O36" s="16">
        <v>10907167015</v>
      </c>
      <c r="P36" s="16"/>
      <c r="Q36" s="16">
        <f t="shared" si="1"/>
        <v>133593300</v>
      </c>
    </row>
    <row r="37" spans="1:17" s="333" customFormat="1" ht="21.75">
      <c r="A37" s="333" t="s">
        <v>113</v>
      </c>
      <c r="B37" s="334"/>
      <c r="C37" s="16">
        <f>IFERROR(VLOOKUP(A37,اوراق!$A$9:$W$48,22,0),0)</f>
        <v>0</v>
      </c>
      <c r="D37" s="16"/>
      <c r="E37" s="16">
        <f>IFERROR(VLOOKUP(A37,اوراق!$A$9:$AG$48,23,0),0)</f>
        <v>0</v>
      </c>
      <c r="F37" s="16"/>
      <c r="G37" s="16">
        <v>0</v>
      </c>
      <c r="H37" s="16"/>
      <c r="I37" s="16">
        <f t="shared" si="0"/>
        <v>0</v>
      </c>
      <c r="J37" s="16"/>
      <c r="K37" s="16">
        <v>29100</v>
      </c>
      <c r="L37" s="16"/>
      <c r="M37" s="16">
        <v>19465077430</v>
      </c>
      <c r="N37" s="16"/>
      <c r="O37" s="16">
        <v>19579809238</v>
      </c>
      <c r="P37" s="16"/>
      <c r="Q37" s="16">
        <f t="shared" si="1"/>
        <v>-114731808</v>
      </c>
    </row>
    <row r="38" spans="1:17" s="333" customFormat="1" ht="21.75">
      <c r="A38" s="333" t="s">
        <v>114</v>
      </c>
      <c r="B38" s="334"/>
      <c r="C38" s="16">
        <f>IFERROR(VLOOKUP(A38,اوراق!$A$9:$W$48,22,0),0)</f>
        <v>1010</v>
      </c>
      <c r="D38" s="16"/>
      <c r="E38" s="16">
        <f>IFERROR(VLOOKUP(A38,اوراق!$A$9:$AG$48,23,0),0)</f>
        <v>601850896</v>
      </c>
      <c r="F38" s="16"/>
      <c r="G38" s="16">
        <v>554071941</v>
      </c>
      <c r="H38" s="16"/>
      <c r="I38" s="16">
        <f t="shared" si="0"/>
        <v>47778955</v>
      </c>
      <c r="J38" s="16"/>
      <c r="K38" s="16">
        <v>16010</v>
      </c>
      <c r="L38" s="16"/>
      <c r="M38" s="16">
        <v>8670088264</v>
      </c>
      <c r="N38" s="16"/>
      <c r="O38" s="16">
        <v>8135941858</v>
      </c>
      <c r="P38" s="16"/>
      <c r="Q38" s="16">
        <f t="shared" si="1"/>
        <v>534146406</v>
      </c>
    </row>
    <row r="39" spans="1:17" ht="22.5" thickBot="1">
      <c r="A39" s="55" t="s">
        <v>2</v>
      </c>
      <c r="B39" s="55"/>
      <c r="C39" s="55"/>
      <c r="E39" s="76">
        <f>SUM(E7:E38)</f>
        <v>3781917852</v>
      </c>
      <c r="F39" s="16"/>
      <c r="G39" s="76">
        <f>SUM(G7:G38)</f>
        <v>3672809526</v>
      </c>
      <c r="H39" s="16"/>
      <c r="I39" s="76">
        <f>SUM(I7:I38)</f>
        <v>109108326</v>
      </c>
      <c r="J39" s="73"/>
      <c r="K39" s="335"/>
      <c r="L39" s="336"/>
      <c r="M39" s="76">
        <f>SUM(M7:M38)</f>
        <v>284577632698</v>
      </c>
      <c r="N39" s="16"/>
      <c r="O39" s="76">
        <f>SUM(O7:O38)</f>
        <v>271590800752</v>
      </c>
      <c r="P39" s="16"/>
      <c r="Q39" s="76">
        <f>SUM(Q7:Q38)</f>
        <v>12986831946</v>
      </c>
    </row>
    <row r="40" spans="1:17" ht="23.25" thickTop="1">
      <c r="E40" s="49"/>
      <c r="F40" s="301"/>
      <c r="G40" s="49"/>
      <c r="H40" s="49"/>
      <c r="I40" s="49"/>
      <c r="J40" s="301"/>
      <c r="K40" s="301"/>
      <c r="L40" s="301"/>
      <c r="M40" s="51"/>
      <c r="N40" s="301"/>
      <c r="O40" s="51"/>
      <c r="P40" s="301"/>
      <c r="Q40" s="51"/>
    </row>
    <row r="41" spans="1:17" ht="22.5">
      <c r="E41" s="49"/>
      <c r="F41" s="301"/>
      <c r="G41" s="49"/>
      <c r="H41" s="301"/>
      <c r="I41" s="49"/>
      <c r="J41" s="301"/>
      <c r="K41" s="301"/>
      <c r="L41" s="301"/>
      <c r="M41" s="49"/>
      <c r="N41" s="301"/>
      <c r="O41" s="49"/>
      <c r="P41" s="301"/>
      <c r="Q41" s="49"/>
    </row>
    <row r="42" spans="1:17" ht="10.5" customHeight="1">
      <c r="A42" s="153"/>
      <c r="B42" s="153"/>
      <c r="C42" s="153"/>
      <c r="D42" s="153"/>
      <c r="E42" s="45"/>
      <c r="F42" s="45"/>
      <c r="G42" s="45"/>
      <c r="H42" s="45"/>
      <c r="I42" s="2"/>
      <c r="J42" s="2"/>
      <c r="K42" s="2"/>
      <c r="L42" s="2"/>
      <c r="M42" s="2"/>
      <c r="N42" s="2"/>
      <c r="O42" s="2"/>
      <c r="P42" s="2"/>
      <c r="Q42" s="2"/>
    </row>
    <row r="43" spans="1:17" ht="21.75">
      <c r="A43" s="337" t="s">
        <v>40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9"/>
    </row>
    <row r="44" spans="1:17" ht="6" customHeight="1">
      <c r="A44" s="340"/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</row>
    <row r="45" spans="1:17" s="16" customFormat="1" ht="18" customHeight="1"/>
    <row r="46" spans="1:17" s="16" customFormat="1" ht="18" customHeight="1"/>
    <row r="47" spans="1:17" s="16" customFormat="1" ht="18" customHeight="1"/>
    <row r="48" spans="1:17" s="16" customFormat="1" ht="18" customHeight="1"/>
    <row r="49" spans="3:20" s="16" customFormat="1" ht="18" customHeight="1"/>
    <row r="50" spans="3:20" s="16" customFormat="1" ht="18" customHeight="1"/>
    <row r="51" spans="3:20" s="16" customFormat="1" ht="18" customHeight="1"/>
    <row r="52" spans="3:20" s="16" customFormat="1" ht="21.75"/>
    <row r="53" spans="3:20" s="16" customFormat="1" ht="21.75"/>
    <row r="54" spans="3:20" s="16" customFormat="1" ht="21.75"/>
    <row r="55" spans="3:20" s="16" customFormat="1" ht="21.75"/>
    <row r="56" spans="3:20" s="16" customFormat="1" ht="21.75"/>
    <row r="57" spans="3:20" ht="27">
      <c r="C57" s="341"/>
      <c r="F57" s="301"/>
      <c r="G57" s="301"/>
      <c r="H57" s="301"/>
      <c r="I57" s="16"/>
      <c r="J57" s="301"/>
      <c r="K57" s="341"/>
      <c r="L57" s="301"/>
      <c r="M57" s="342"/>
      <c r="N57" s="301"/>
      <c r="O57" s="301"/>
      <c r="P57" s="301"/>
      <c r="Q57" s="34"/>
    </row>
    <row r="58" spans="3:20" s="34" customFormat="1" ht="24">
      <c r="I58" s="341"/>
    </row>
    <row r="59" spans="3:20" s="34" customFormat="1" ht="27">
      <c r="E59" s="177"/>
    </row>
    <row r="60" spans="3:20" s="34" customFormat="1" ht="24">
      <c r="E60" s="322"/>
    </row>
    <row r="61" spans="3:20" s="34" customFormat="1" ht="24">
      <c r="E61" s="322"/>
      <c r="R61" s="150"/>
    </row>
    <row r="62" spans="3:20" s="34" customFormat="1" ht="24">
      <c r="R62" s="150"/>
      <c r="T62" s="322"/>
    </row>
    <row r="63" spans="3:20" s="34" customFormat="1" ht="24">
      <c r="R63" s="150"/>
      <c r="T63" s="322"/>
    </row>
    <row r="64" spans="3:20" ht="24">
      <c r="E64" s="301"/>
      <c r="F64" s="301"/>
      <c r="G64" s="34"/>
      <c r="H64" s="34"/>
      <c r="I64" s="34"/>
      <c r="J64" s="34"/>
      <c r="K64" s="34"/>
      <c r="L64" s="34"/>
      <c r="M64" s="34"/>
      <c r="N64" s="301"/>
      <c r="O64" s="301"/>
      <c r="P64" s="301"/>
      <c r="Q64" s="322"/>
      <c r="R64" s="150"/>
      <c r="T64" s="322"/>
    </row>
    <row r="65" spans="7:20" ht="24">
      <c r="G65" s="34"/>
      <c r="H65" s="34"/>
      <c r="I65" s="34"/>
      <c r="J65" s="34"/>
      <c r="K65" s="34"/>
      <c r="L65" s="34"/>
      <c r="M65" s="34"/>
      <c r="Q65" s="322"/>
      <c r="R65" s="150"/>
    </row>
    <row r="66" spans="7:20" ht="24">
      <c r="G66" s="34"/>
      <c r="H66" s="34"/>
      <c r="I66" s="34"/>
      <c r="J66" s="34"/>
      <c r="K66" s="34"/>
      <c r="L66" s="34"/>
      <c r="M66" s="34"/>
      <c r="Q66" s="322"/>
      <c r="R66" s="315"/>
      <c r="T66" s="315"/>
    </row>
    <row r="67" spans="7:20" ht="24">
      <c r="I67" s="34"/>
      <c r="Q67" s="34"/>
      <c r="R67" s="343"/>
    </row>
    <row r="68" spans="7:20">
      <c r="I68" s="322"/>
    </row>
  </sheetData>
  <autoFilter ref="A6:Q6" xr:uid="{00000000-0009-0000-0000-000007000000}">
    <sortState xmlns:xlrd2="http://schemas.microsoft.com/office/spreadsheetml/2017/richdata2" ref="A7:Q20">
      <sortCondition ref="A6"/>
    </sortState>
  </autoFilter>
  <sortState xmlns:xlrd2="http://schemas.microsoft.com/office/spreadsheetml/2017/richdata2" ref="T7:U60">
    <sortCondition descending="1" ref="T6:T60"/>
  </sortState>
  <mergeCells count="8">
    <mergeCell ref="A1:Q1"/>
    <mergeCell ref="A2:Q2"/>
    <mergeCell ref="A3:Q3"/>
    <mergeCell ref="A43:Q43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84" fitToHeight="0" orientation="landscape" r:id="rId1"/>
  <rowBreaks count="1" manualBreakCount="1">
    <brk id="44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Y54"/>
  <sheetViews>
    <sheetView rightToLeft="1" view="pageBreakPreview" zoomScale="90" zoomScaleNormal="100" zoomScaleSheetLayoutView="90" workbookViewId="0">
      <selection activeCell="S15" sqref="S15"/>
    </sheetView>
  </sheetViews>
  <sheetFormatPr defaultColWidth="9.140625" defaultRowHeight="21.75"/>
  <cols>
    <col min="1" max="1" width="35.28515625" style="301" bestFit="1" customWidth="1"/>
    <col min="2" max="2" width="0.5703125" style="301" customWidth="1"/>
    <col min="3" max="3" width="23" style="2" bestFit="1" customWidth="1"/>
    <col min="4" max="4" width="0.85546875" style="2" customWidth="1"/>
    <col min="5" max="5" width="25.7109375" style="2" bestFit="1" customWidth="1"/>
    <col min="6" max="6" width="0.85546875" style="2" customWidth="1"/>
    <col min="7" max="7" width="25.7109375" style="2" bestFit="1" customWidth="1"/>
    <col min="8" max="8" width="0.7109375" style="2" customWidth="1"/>
    <col min="9" max="9" width="25.140625" style="2" customWidth="1"/>
    <col min="10" max="10" width="1.42578125" style="2" customWidth="1"/>
    <col min="11" max="11" width="17.7109375" style="2" bestFit="1" customWidth="1"/>
    <col min="12" max="12" width="1.140625" style="2" customWidth="1"/>
    <col min="13" max="13" width="25.7109375" style="2" bestFit="1" customWidth="1"/>
    <col min="14" max="14" width="1" style="2" customWidth="1"/>
    <col min="15" max="15" width="25.7109375" style="2" bestFit="1" customWidth="1"/>
    <col min="16" max="16" width="1.140625" style="2" customWidth="1"/>
    <col min="17" max="17" width="25.7109375" style="2" bestFit="1" customWidth="1"/>
    <col min="18" max="18" width="10" style="301" customWidth="1"/>
    <col min="19" max="19" width="17" style="301" bestFit="1" customWidth="1"/>
    <col min="20" max="20" width="13.140625" style="301" customWidth="1"/>
    <col min="21" max="21" width="15.5703125" style="17" bestFit="1" customWidth="1"/>
    <col min="22" max="22" width="14.42578125" style="301" bestFit="1" customWidth="1"/>
    <col min="23" max="23" width="13" style="301" bestFit="1" customWidth="1"/>
    <col min="24" max="24" width="13.140625" style="301" bestFit="1" customWidth="1"/>
    <col min="25" max="25" width="14.28515625" style="301" bestFit="1" customWidth="1"/>
    <col min="26" max="16384" width="9.140625" style="301"/>
  </cols>
  <sheetData>
    <row r="1" spans="1:25" ht="22.5">
      <c r="A1" s="288" t="s">
        <v>87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25" ht="22.5">
      <c r="A2" s="288" t="s">
        <v>52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</row>
    <row r="3" spans="1:25" ht="22.5">
      <c r="A3" s="288" t="str">
        <f>' سهام'!$A$3</f>
        <v>برای ماه منتهی به 1403/04/31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</row>
    <row r="4" spans="1:25">
      <c r="A4" s="230" t="s">
        <v>59</v>
      </c>
      <c r="B4" s="230"/>
      <c r="C4" s="230"/>
      <c r="D4" s="230"/>
      <c r="E4" s="230"/>
      <c r="F4" s="230"/>
      <c r="G4" s="230"/>
      <c r="H4" s="230"/>
    </row>
    <row r="5" spans="1:25" ht="21" customHeight="1" thickBot="1">
      <c r="A5" s="168"/>
      <c r="B5" s="168"/>
      <c r="C5" s="256" t="str">
        <f>'درآمد سرمایه گذاری در سهام '!C7</f>
        <v>طی تیر ماه</v>
      </c>
      <c r="D5" s="256"/>
      <c r="E5" s="256"/>
      <c r="F5" s="256"/>
      <c r="G5" s="256"/>
      <c r="H5" s="256"/>
      <c r="I5" s="256"/>
      <c r="K5" s="256" t="str">
        <f>'درآمد سرمایه گذاری در سهام '!M7</f>
        <v>از ابتدای سال مالی تا پایان تیر ماه</v>
      </c>
      <c r="L5" s="256"/>
      <c r="M5" s="256"/>
      <c r="N5" s="256"/>
      <c r="O5" s="256"/>
      <c r="P5" s="256"/>
      <c r="Q5" s="256"/>
    </row>
    <row r="6" spans="1:25" ht="27" customHeight="1" thickBot="1">
      <c r="A6" s="344" t="s">
        <v>33</v>
      </c>
      <c r="B6" s="344"/>
      <c r="C6" s="27" t="s">
        <v>3</v>
      </c>
      <c r="D6" s="28"/>
      <c r="E6" s="29" t="s">
        <v>18</v>
      </c>
      <c r="F6" s="28"/>
      <c r="G6" s="27" t="s">
        <v>38</v>
      </c>
      <c r="H6" s="28"/>
      <c r="I6" s="30" t="s">
        <v>39</v>
      </c>
      <c r="K6" s="27" t="s">
        <v>3</v>
      </c>
      <c r="L6" s="28"/>
      <c r="M6" s="29" t="s">
        <v>18</v>
      </c>
      <c r="N6" s="28"/>
      <c r="O6" s="27" t="s">
        <v>38</v>
      </c>
      <c r="P6" s="28"/>
      <c r="Q6" s="30" t="s">
        <v>39</v>
      </c>
    </row>
    <row r="7" spans="1:25" s="153" customFormat="1" ht="21.75" customHeight="1">
      <c r="A7" s="345" t="s">
        <v>140</v>
      </c>
      <c r="C7" s="16">
        <f>IFERROR(VLOOKUP(A7,' سهام'!$A$10:$U$99,15,0),0)</f>
        <v>67316</v>
      </c>
      <c r="D7" s="16"/>
      <c r="E7" s="16">
        <f>IFERROR(VLOOKUP(A7,' سهام'!$A$10:$U$99,21,0),0)</f>
        <v>1105443566</v>
      </c>
      <c r="F7" s="16" t="s">
        <v>120</v>
      </c>
      <c r="G7" s="16">
        <v>1079346531</v>
      </c>
      <c r="H7" s="16"/>
      <c r="I7" s="16">
        <f>E7-G7</f>
        <v>26097035</v>
      </c>
      <c r="J7" s="16"/>
      <c r="K7" s="16">
        <f>IFERROR(VLOOKUP(A7,' سهام'!$A$10:$U$99,15,0),0)</f>
        <v>67316</v>
      </c>
      <c r="L7" s="16"/>
      <c r="M7" s="16">
        <f>IFERROR(VLOOKUP(A7,' سهام'!$A$10:$U$99,21,0),0)</f>
        <v>1105443566</v>
      </c>
      <c r="N7" s="16"/>
      <c r="O7" s="16">
        <v>1308035336</v>
      </c>
      <c r="P7" s="16"/>
      <c r="Q7" s="16">
        <f>M7-O7</f>
        <v>-202591770</v>
      </c>
      <c r="R7" s="305"/>
      <c r="S7" s="130"/>
      <c r="T7" s="305"/>
      <c r="U7" s="45"/>
      <c r="V7" s="45"/>
      <c r="W7" s="305"/>
      <c r="X7" s="305"/>
      <c r="Y7" s="305"/>
    </row>
    <row r="8" spans="1:25" s="153" customFormat="1" ht="21.75" customHeight="1">
      <c r="A8" s="345" t="s">
        <v>123</v>
      </c>
      <c r="C8" s="16">
        <f>IFERROR(VLOOKUP(A8,' سهام'!$A$10:$U$99,15,0),0)</f>
        <v>64886</v>
      </c>
      <c r="D8" s="16"/>
      <c r="E8" s="16">
        <f>IFERROR(VLOOKUP(A8,' سهام'!$A$10:$U$99,21,0),0)</f>
        <v>1345468508</v>
      </c>
      <c r="F8" s="16"/>
      <c r="G8" s="16">
        <v>1268068595</v>
      </c>
      <c r="H8" s="16"/>
      <c r="I8" s="16">
        <f t="shared" ref="I8:I29" si="0">E8-G8</f>
        <v>77399913</v>
      </c>
      <c r="J8" s="16"/>
      <c r="K8" s="16">
        <f>IFERROR(VLOOKUP(A8,' سهام'!$A$10:$U$99,15,0),0)</f>
        <v>64886</v>
      </c>
      <c r="L8" s="16"/>
      <c r="M8" s="16">
        <f>IFERROR(VLOOKUP(A8,' سهام'!$A$10:$U$99,21,0),0)</f>
        <v>1345468508</v>
      </c>
      <c r="N8" s="16"/>
      <c r="O8" s="16">
        <v>1121315880</v>
      </c>
      <c r="P8" s="16"/>
      <c r="Q8" s="16">
        <f t="shared" ref="Q8:Q29" si="1">M8-O8</f>
        <v>224152628</v>
      </c>
      <c r="R8" s="305"/>
      <c r="S8" s="130"/>
      <c r="T8" s="305"/>
      <c r="U8" s="45"/>
      <c r="V8" s="45"/>
      <c r="W8" s="305"/>
      <c r="X8" s="305"/>
      <c r="Y8" s="305"/>
    </row>
    <row r="9" spans="1:25" s="153" customFormat="1" ht="21.75" customHeight="1">
      <c r="A9" s="345" t="s">
        <v>99</v>
      </c>
      <c r="C9" s="16">
        <f>IFERROR(VLOOKUP(A9,' سهام'!$A$10:$U$99,15,0),0)</f>
        <v>33444</v>
      </c>
      <c r="D9" s="16"/>
      <c r="E9" s="16">
        <f>IFERROR(VLOOKUP(A9,' سهام'!$A$10:$U$99,21,0),0)</f>
        <v>1338776484</v>
      </c>
      <c r="F9" s="16"/>
      <c r="G9" s="16">
        <v>1007323751</v>
      </c>
      <c r="H9" s="16"/>
      <c r="I9" s="16">
        <f t="shared" si="0"/>
        <v>331452733</v>
      </c>
      <c r="J9" s="16"/>
      <c r="K9" s="16">
        <f>IFERROR(VLOOKUP(A9,' سهام'!$A$10:$U$99,15,0),0)</f>
        <v>33444</v>
      </c>
      <c r="L9" s="16"/>
      <c r="M9" s="16">
        <f>IFERROR(VLOOKUP(A9,' سهام'!$A$10:$U$99,21,0),0)</f>
        <v>1338776484</v>
      </c>
      <c r="N9" s="16"/>
      <c r="O9" s="16">
        <v>1043756510</v>
      </c>
      <c r="P9" s="16"/>
      <c r="Q9" s="16">
        <f t="shared" si="1"/>
        <v>295019974</v>
      </c>
      <c r="R9" s="305"/>
      <c r="S9" s="130"/>
      <c r="T9" s="305"/>
      <c r="U9" s="45"/>
      <c r="V9" s="45"/>
      <c r="W9" s="305"/>
      <c r="X9" s="305"/>
      <c r="Y9" s="305"/>
    </row>
    <row r="10" spans="1:25" s="153" customFormat="1" ht="21.75" customHeight="1">
      <c r="A10" s="345" t="s">
        <v>105</v>
      </c>
      <c r="C10" s="16">
        <f>IFERROR(VLOOKUP(A10,' سهام'!$A$10:$U$99,15,0),0)</f>
        <v>36974</v>
      </c>
      <c r="D10" s="16"/>
      <c r="E10" s="16">
        <f>IFERROR(VLOOKUP(A10,' سهام'!$A$10:$U$99,21,0),0)</f>
        <v>916644883</v>
      </c>
      <c r="F10" s="16"/>
      <c r="G10" s="16">
        <v>807117947</v>
      </c>
      <c r="H10" s="16"/>
      <c r="I10" s="16">
        <f t="shared" si="0"/>
        <v>109526936</v>
      </c>
      <c r="J10" s="16"/>
      <c r="K10" s="16">
        <f>IFERROR(VLOOKUP(A10,' سهام'!$A$10:$U$99,15,0),0)</f>
        <v>36974</v>
      </c>
      <c r="L10" s="16"/>
      <c r="M10" s="16">
        <f>IFERROR(VLOOKUP(A10,' سهام'!$A$10:$U$99,21,0),0)</f>
        <v>916644883</v>
      </c>
      <c r="N10" s="16"/>
      <c r="O10" s="16">
        <v>856032528</v>
      </c>
      <c r="P10" s="16"/>
      <c r="Q10" s="16">
        <f t="shared" si="1"/>
        <v>60612355</v>
      </c>
      <c r="R10" s="305"/>
      <c r="S10" s="130"/>
      <c r="T10" s="305"/>
      <c r="U10" s="45"/>
      <c r="V10" s="45"/>
      <c r="W10" s="305"/>
      <c r="X10" s="305"/>
      <c r="Y10" s="305"/>
    </row>
    <row r="11" spans="1:25" s="153" customFormat="1" ht="21.75" customHeight="1">
      <c r="A11" s="345" t="s">
        <v>92</v>
      </c>
      <c r="C11" s="16">
        <f>IFERROR(VLOOKUP(A11,' سهام'!$A$10:$U$99,15,0),0)</f>
        <v>76199</v>
      </c>
      <c r="D11" s="16"/>
      <c r="E11" s="16">
        <f>IFERROR(VLOOKUP(A11,' سهام'!$A$10:$U$99,21,0),0)</f>
        <v>3628972464</v>
      </c>
      <c r="F11" s="16"/>
      <c r="G11" s="16">
        <v>3723072352</v>
      </c>
      <c r="H11" s="16"/>
      <c r="I11" s="16">
        <f t="shared" si="0"/>
        <v>-94099888</v>
      </c>
      <c r="J11" s="16"/>
      <c r="K11" s="16">
        <f>IFERROR(VLOOKUP(A11,' سهام'!$A$10:$U$99,15,0),0)</f>
        <v>76199</v>
      </c>
      <c r="L11" s="16"/>
      <c r="M11" s="16">
        <f>IFERROR(VLOOKUP(A11,' سهام'!$A$10:$U$99,21,0),0)</f>
        <v>3628972464</v>
      </c>
      <c r="N11" s="16"/>
      <c r="O11" s="16">
        <v>3376833431</v>
      </c>
      <c r="P11" s="16"/>
      <c r="Q11" s="16">
        <f t="shared" si="1"/>
        <v>252139033</v>
      </c>
      <c r="R11" s="305"/>
      <c r="S11" s="130"/>
      <c r="T11" s="305"/>
      <c r="U11" s="45"/>
      <c r="V11" s="45"/>
      <c r="W11" s="305"/>
      <c r="X11" s="305"/>
      <c r="Y11" s="305"/>
    </row>
    <row r="12" spans="1:25" s="153" customFormat="1" ht="21.75" customHeight="1">
      <c r="A12" s="345" t="s">
        <v>91</v>
      </c>
      <c r="C12" s="16">
        <f>IFERROR(VLOOKUP(A12,' سهام'!$A$10:$U$99,15,0),0)</f>
        <v>208254</v>
      </c>
      <c r="D12" s="16"/>
      <c r="E12" s="16">
        <f>IFERROR(VLOOKUP(A12,' سهام'!$A$10:$U$99,21,0),0)</f>
        <v>3579287429</v>
      </c>
      <c r="F12" s="16"/>
      <c r="G12" s="16">
        <v>3740759044</v>
      </c>
      <c r="H12" s="16"/>
      <c r="I12" s="16">
        <f t="shared" si="0"/>
        <v>-161471615</v>
      </c>
      <c r="J12" s="16"/>
      <c r="K12" s="16">
        <f>IFERROR(VLOOKUP(A12,' سهام'!$A$10:$U$99,15,0),0)</f>
        <v>208254</v>
      </c>
      <c r="L12" s="16"/>
      <c r="M12" s="16">
        <f>IFERROR(VLOOKUP(A12,' سهام'!$A$10:$U$99,21,0),0)</f>
        <v>3579287429</v>
      </c>
      <c r="N12" s="16"/>
      <c r="O12" s="16">
        <v>3618511584</v>
      </c>
      <c r="P12" s="16"/>
      <c r="Q12" s="16">
        <f t="shared" si="1"/>
        <v>-39224155</v>
      </c>
      <c r="R12" s="305"/>
      <c r="S12" s="130"/>
      <c r="T12" s="305"/>
      <c r="U12" s="45"/>
      <c r="V12" s="45"/>
      <c r="W12" s="305"/>
      <c r="X12" s="305"/>
      <c r="Y12" s="305"/>
    </row>
    <row r="13" spans="1:25" s="153" customFormat="1" ht="21.75" customHeight="1">
      <c r="A13" s="345" t="s">
        <v>93</v>
      </c>
      <c r="C13" s="16">
        <f>IFERROR(VLOOKUP(A13,' سهام'!$A$10:$U$99,15,0),0)</f>
        <v>807673</v>
      </c>
      <c r="D13" s="16"/>
      <c r="E13" s="16">
        <f>IFERROR(VLOOKUP(A13,' سهام'!$A$10:$U$99,21,0),0)</f>
        <v>6455053462</v>
      </c>
      <c r="F13" s="16"/>
      <c r="G13" s="16">
        <v>6573680690</v>
      </c>
      <c r="H13" s="16"/>
      <c r="I13" s="16">
        <f t="shared" si="0"/>
        <v>-118627228</v>
      </c>
      <c r="J13" s="16"/>
      <c r="K13" s="16">
        <f>IFERROR(VLOOKUP(A13,' سهام'!$A$10:$U$99,15,0),0)</f>
        <v>807673</v>
      </c>
      <c r="L13" s="16"/>
      <c r="M13" s="16">
        <f>IFERROR(VLOOKUP(A13,' سهام'!$A$10:$U$99,21,0),0)</f>
        <v>6455053462</v>
      </c>
      <c r="N13" s="16"/>
      <c r="O13" s="16">
        <v>6934125779</v>
      </c>
      <c r="P13" s="16"/>
      <c r="Q13" s="16">
        <f t="shared" si="1"/>
        <v>-479072317</v>
      </c>
      <c r="R13" s="305"/>
      <c r="S13" s="130"/>
      <c r="T13" s="305"/>
      <c r="U13" s="45"/>
      <c r="V13" s="45"/>
      <c r="W13" s="305"/>
      <c r="X13" s="305"/>
      <c r="Y13" s="305"/>
    </row>
    <row r="14" spans="1:25" s="153" customFormat="1" ht="21.75" customHeight="1">
      <c r="A14" s="345" t="s">
        <v>102</v>
      </c>
      <c r="C14" s="16">
        <f>IFERROR(VLOOKUP(A14,' سهام'!$A$10:$U$99,15,0),0)</f>
        <v>40877</v>
      </c>
      <c r="D14" s="16"/>
      <c r="E14" s="16">
        <f>IFERROR(VLOOKUP(A14,' سهام'!$A$10:$U$99,21,0),0)</f>
        <v>1118648016</v>
      </c>
      <c r="F14" s="16"/>
      <c r="G14" s="16">
        <v>915479109</v>
      </c>
      <c r="H14" s="16"/>
      <c r="I14" s="16">
        <f t="shared" si="0"/>
        <v>203168907</v>
      </c>
      <c r="J14" s="16"/>
      <c r="K14" s="16">
        <f>IFERROR(VLOOKUP(A14,' سهام'!$A$10:$U$99,15,0),0)</f>
        <v>40877</v>
      </c>
      <c r="L14" s="16"/>
      <c r="M14" s="16">
        <f>IFERROR(VLOOKUP(A14,' سهام'!$A$10:$U$99,21,0),0)</f>
        <v>1118648016</v>
      </c>
      <c r="N14" s="16"/>
      <c r="O14" s="16">
        <v>904308965</v>
      </c>
      <c r="P14" s="16"/>
      <c r="Q14" s="16">
        <f t="shared" si="1"/>
        <v>214339051</v>
      </c>
      <c r="R14" s="305"/>
      <c r="S14" s="130"/>
      <c r="T14" s="305"/>
      <c r="U14" s="45"/>
      <c r="V14" s="45"/>
      <c r="W14" s="305"/>
      <c r="X14" s="305"/>
      <c r="Y14" s="305"/>
    </row>
    <row r="15" spans="1:25" s="153" customFormat="1" ht="21.75" customHeight="1">
      <c r="A15" s="345" t="s">
        <v>94</v>
      </c>
      <c r="C15" s="16">
        <f>IFERROR(VLOOKUP(A15,' سهام'!$A$10:$U$99,15,0),0)</f>
        <v>1799845</v>
      </c>
      <c r="D15" s="16"/>
      <c r="E15" s="16">
        <f>IFERROR(VLOOKUP(A15,' سهام'!$A$10:$U$99,21,0),0)</f>
        <v>11325230390</v>
      </c>
      <c r="F15" s="16"/>
      <c r="G15" s="16">
        <v>10019161169</v>
      </c>
      <c r="H15" s="16"/>
      <c r="I15" s="16">
        <f t="shared" si="0"/>
        <v>1306069221</v>
      </c>
      <c r="J15" s="16"/>
      <c r="K15" s="16">
        <f>IFERROR(VLOOKUP(A15,' سهام'!$A$10:$U$99,15,0),0)</f>
        <v>1799845</v>
      </c>
      <c r="L15" s="16"/>
      <c r="M15" s="16">
        <f>IFERROR(VLOOKUP(A15,' سهام'!$A$10:$U$99,21,0),0)</f>
        <v>11325230390</v>
      </c>
      <c r="N15" s="16"/>
      <c r="O15" s="16">
        <v>12123303490</v>
      </c>
      <c r="P15" s="16"/>
      <c r="Q15" s="16">
        <f t="shared" si="1"/>
        <v>-798073100</v>
      </c>
      <c r="R15" s="305"/>
      <c r="S15" s="130"/>
      <c r="T15" s="305"/>
      <c r="U15" s="45"/>
      <c r="V15" s="45"/>
      <c r="W15" s="305"/>
      <c r="X15" s="305"/>
      <c r="Y15" s="305"/>
    </row>
    <row r="16" spans="1:25" s="153" customFormat="1" ht="21.75" customHeight="1">
      <c r="A16" s="345" t="s">
        <v>90</v>
      </c>
      <c r="C16" s="16">
        <f>IFERROR(VLOOKUP(A16,' سهام'!$A$10:$U$99,15,0),0)</f>
        <v>180232</v>
      </c>
      <c r="D16" s="16"/>
      <c r="E16" s="16">
        <f>IFERROR(VLOOKUP(A16,' سهام'!$A$10:$U$99,21,0),0)</f>
        <v>2909552225</v>
      </c>
      <c r="F16" s="16"/>
      <c r="G16" s="16">
        <v>3007346549</v>
      </c>
      <c r="H16" s="16"/>
      <c r="I16" s="16">
        <f t="shared" si="0"/>
        <v>-97794324</v>
      </c>
      <c r="J16" s="16"/>
      <c r="K16" s="16">
        <f>IFERROR(VLOOKUP(A16,' سهام'!$A$10:$U$99,15,0),0)</f>
        <v>180232</v>
      </c>
      <c r="L16" s="16"/>
      <c r="M16" s="16">
        <f>IFERROR(VLOOKUP(A16,' سهام'!$A$10:$U$99,21,0),0)</f>
        <v>2909552225</v>
      </c>
      <c r="N16" s="16"/>
      <c r="O16" s="16">
        <v>3340164436</v>
      </c>
      <c r="P16" s="16"/>
      <c r="Q16" s="16">
        <f t="shared" si="1"/>
        <v>-430612211</v>
      </c>
      <c r="R16" s="305"/>
      <c r="S16" s="130"/>
      <c r="T16" s="305"/>
      <c r="U16" s="45"/>
      <c r="V16" s="45"/>
      <c r="W16" s="305"/>
      <c r="X16" s="305"/>
      <c r="Y16" s="305"/>
    </row>
    <row r="17" spans="1:25" s="153" customFormat="1" ht="21.75" customHeight="1">
      <c r="A17" s="345" t="s">
        <v>88</v>
      </c>
      <c r="C17" s="16">
        <f>IFERROR(VLOOKUP(A17,' سهام'!$A$10:$U$99,15,0),0)</f>
        <v>158661</v>
      </c>
      <c r="D17" s="16"/>
      <c r="E17" s="16">
        <f>IFERROR(VLOOKUP(A17,' سهام'!$A$10:$U$99,21,0),0)</f>
        <v>1247541212</v>
      </c>
      <c r="F17" s="16"/>
      <c r="G17" s="16">
        <v>1318513848</v>
      </c>
      <c r="H17" s="16"/>
      <c r="I17" s="16">
        <f t="shared" si="0"/>
        <v>-70972636</v>
      </c>
      <c r="J17" s="16"/>
      <c r="K17" s="16">
        <f>IFERROR(VLOOKUP(A17,' سهام'!$A$10:$U$99,15,0),0)</f>
        <v>158661</v>
      </c>
      <c r="L17" s="16"/>
      <c r="M17" s="16">
        <f>IFERROR(VLOOKUP(A17,' سهام'!$A$10:$U$99,21,0),0)</f>
        <v>1247541212</v>
      </c>
      <c r="N17" s="16"/>
      <c r="O17" s="16">
        <v>1873008203</v>
      </c>
      <c r="P17" s="16"/>
      <c r="Q17" s="16">
        <f t="shared" si="1"/>
        <v>-625466991</v>
      </c>
      <c r="R17" s="305"/>
      <c r="S17" s="130"/>
      <c r="T17" s="305"/>
      <c r="U17" s="45"/>
      <c r="V17" s="45"/>
      <c r="W17" s="305"/>
      <c r="X17" s="305"/>
      <c r="Y17" s="305"/>
    </row>
    <row r="18" spans="1:25" s="153" customFormat="1" ht="21.75" customHeight="1">
      <c r="A18" s="345" t="s">
        <v>121</v>
      </c>
      <c r="C18" s="16">
        <f>IFERROR(VLOOKUP(A18,' سهام'!$A$10:$U$99,15,0),0)</f>
        <v>227817</v>
      </c>
      <c r="D18" s="16"/>
      <c r="E18" s="16">
        <f>IFERROR(VLOOKUP(A18,' سهام'!$A$10:$U$99,21,0),0)</f>
        <v>2454842541</v>
      </c>
      <c r="F18" s="16"/>
      <c r="G18" s="16">
        <v>2756036324</v>
      </c>
      <c r="H18" s="16"/>
      <c r="I18" s="16">
        <f t="shared" si="0"/>
        <v>-301193783</v>
      </c>
      <c r="J18" s="16"/>
      <c r="K18" s="16">
        <f>IFERROR(VLOOKUP(A18,' سهام'!$A$10:$U$99,15,0),0)</f>
        <v>227817</v>
      </c>
      <c r="L18" s="16"/>
      <c r="M18" s="16">
        <f>IFERROR(VLOOKUP(A18,' سهام'!$A$10:$U$99,21,0),0)</f>
        <v>2454842541</v>
      </c>
      <c r="N18" s="16"/>
      <c r="O18" s="16">
        <v>2962200639</v>
      </c>
      <c r="P18" s="16"/>
      <c r="Q18" s="16">
        <f t="shared" si="1"/>
        <v>-507358098</v>
      </c>
      <c r="R18" s="305"/>
      <c r="S18" s="130"/>
      <c r="T18" s="305"/>
      <c r="U18" s="45"/>
      <c r="V18" s="45"/>
      <c r="W18" s="305"/>
      <c r="X18" s="305"/>
      <c r="Y18" s="305"/>
    </row>
    <row r="19" spans="1:25" s="153" customFormat="1" ht="21.75" customHeight="1">
      <c r="A19" s="345" t="s">
        <v>95</v>
      </c>
      <c r="C19" s="16">
        <f>IFERROR(VLOOKUP(A19,' سهام'!$A$10:$U$99,15,0),0)</f>
        <v>1160793</v>
      </c>
      <c r="D19" s="16"/>
      <c r="E19" s="16">
        <f>IFERROR(VLOOKUP(A19,' سهام'!$A$10:$U$99,21,0),0)</f>
        <v>2770865595</v>
      </c>
      <c r="F19" s="16"/>
      <c r="G19" s="16">
        <v>2597651681</v>
      </c>
      <c r="H19" s="16"/>
      <c r="I19" s="16">
        <f t="shared" si="0"/>
        <v>173213914</v>
      </c>
      <c r="J19" s="16"/>
      <c r="K19" s="16">
        <f>IFERROR(VLOOKUP(A19,' سهام'!$A$10:$U$99,15,0),0)</f>
        <v>1160793</v>
      </c>
      <c r="L19" s="16"/>
      <c r="M19" s="16">
        <f>IFERROR(VLOOKUP(A19,' سهام'!$A$10:$U$99,21,0),0)</f>
        <v>2770865595</v>
      </c>
      <c r="N19" s="16"/>
      <c r="O19" s="16">
        <v>2971220183</v>
      </c>
      <c r="P19" s="16"/>
      <c r="Q19" s="16">
        <f t="shared" si="1"/>
        <v>-200354588</v>
      </c>
      <c r="R19" s="305"/>
      <c r="S19" s="130"/>
      <c r="T19" s="305"/>
      <c r="U19" s="45"/>
      <c r="V19" s="45"/>
      <c r="W19" s="305"/>
      <c r="X19" s="305"/>
      <c r="Y19" s="305"/>
    </row>
    <row r="20" spans="1:25" s="153" customFormat="1" ht="21.75" customHeight="1">
      <c r="A20" s="345" t="s">
        <v>103</v>
      </c>
      <c r="C20" s="16">
        <f>IFERROR(VLOOKUP(A20,' سهام'!$A$10:$U$99,15,0),0)</f>
        <v>64355</v>
      </c>
      <c r="D20" s="16"/>
      <c r="E20" s="16">
        <f>IFERROR(VLOOKUP(A20,' سهام'!$A$10:$U$99,21,0),0)</f>
        <v>749752871</v>
      </c>
      <c r="F20" s="16"/>
      <c r="G20" s="16">
        <v>793253889</v>
      </c>
      <c r="H20" s="16"/>
      <c r="I20" s="16">
        <f t="shared" si="0"/>
        <v>-43501018</v>
      </c>
      <c r="J20" s="16"/>
      <c r="K20" s="16">
        <f>IFERROR(VLOOKUP(A20,' سهام'!$A$10:$U$99,15,0),0)</f>
        <v>64355</v>
      </c>
      <c r="L20" s="16"/>
      <c r="M20" s="16">
        <f>IFERROR(VLOOKUP(A20,' سهام'!$A$10:$U$99,21,0),0)</f>
        <v>749752871</v>
      </c>
      <c r="N20" s="16"/>
      <c r="O20" s="16">
        <v>945047591</v>
      </c>
      <c r="P20" s="16"/>
      <c r="Q20" s="16">
        <f t="shared" si="1"/>
        <v>-195294720</v>
      </c>
      <c r="R20" s="305"/>
      <c r="S20" s="130"/>
      <c r="T20" s="305"/>
      <c r="U20" s="45"/>
      <c r="V20" s="45"/>
      <c r="W20" s="305"/>
      <c r="X20" s="305"/>
      <c r="Y20" s="305"/>
    </row>
    <row r="21" spans="1:25" s="153" customFormat="1" ht="21.75" customHeight="1">
      <c r="A21" s="345" t="s">
        <v>111</v>
      </c>
      <c r="C21" s="16">
        <f>IFERROR(VLOOKUP(A21,' سهام'!$A$10:$U$99,15,0),0)</f>
        <v>2165871</v>
      </c>
      <c r="D21" s="16"/>
      <c r="E21" s="16">
        <f>IFERROR(VLOOKUP(A21,' سهام'!$A$10:$U$99,21,0),0)</f>
        <v>6170452341</v>
      </c>
      <c r="F21" s="16"/>
      <c r="G21" s="16">
        <v>5687299963</v>
      </c>
      <c r="H21" s="16"/>
      <c r="I21" s="16">
        <f t="shared" si="0"/>
        <v>483152378</v>
      </c>
      <c r="J21" s="16"/>
      <c r="K21" s="16">
        <f>IFERROR(VLOOKUP(A21,' سهام'!$A$10:$U$99,15,0),0)</f>
        <v>2165871</v>
      </c>
      <c r="L21" s="16"/>
      <c r="M21" s="16">
        <f>IFERROR(VLOOKUP(A21,' سهام'!$A$10:$U$99,21,0),0)</f>
        <v>6170452341</v>
      </c>
      <c r="N21" s="16"/>
      <c r="O21" s="16">
        <v>6710929447</v>
      </c>
      <c r="P21" s="16"/>
      <c r="Q21" s="16">
        <f t="shared" si="1"/>
        <v>-540477106</v>
      </c>
      <c r="R21" s="305"/>
      <c r="S21" s="130"/>
      <c r="T21" s="305"/>
      <c r="U21" s="45"/>
      <c r="V21" s="45"/>
      <c r="W21" s="305"/>
      <c r="X21" s="305"/>
      <c r="Y21" s="305"/>
    </row>
    <row r="22" spans="1:25" s="153" customFormat="1" ht="21.75" customHeight="1">
      <c r="A22" s="345" t="s">
        <v>124</v>
      </c>
      <c r="C22" s="16">
        <f>IFERROR(VLOOKUP(A22,' سهام'!$A$10:$U$99,15,0),0)</f>
        <v>2076998</v>
      </c>
      <c r="D22" s="16"/>
      <c r="E22" s="16">
        <f>IFERROR(VLOOKUP(A22,' سهام'!$A$10:$U$99,21,0),0)</f>
        <v>2339236966</v>
      </c>
      <c r="F22" s="16"/>
      <c r="G22" s="16">
        <v>2124514423</v>
      </c>
      <c r="H22" s="16"/>
      <c r="I22" s="16">
        <f t="shared" si="0"/>
        <v>214722543</v>
      </c>
      <c r="J22" s="16"/>
      <c r="K22" s="16">
        <f>IFERROR(VLOOKUP(A22,' سهام'!$A$10:$U$99,15,0),0)</f>
        <v>2076998</v>
      </c>
      <c r="L22" s="16"/>
      <c r="M22" s="16">
        <f>IFERROR(VLOOKUP(A22,' سهام'!$A$10:$U$99,21,0),0)</f>
        <v>2339236966</v>
      </c>
      <c r="N22" s="16"/>
      <c r="O22" s="16">
        <v>2498067889</v>
      </c>
      <c r="P22" s="16"/>
      <c r="Q22" s="16">
        <f t="shared" si="1"/>
        <v>-158830923</v>
      </c>
      <c r="R22" s="305"/>
      <c r="S22" s="130"/>
      <c r="T22" s="305"/>
      <c r="U22" s="45"/>
      <c r="V22" s="45"/>
      <c r="W22" s="305"/>
      <c r="X22" s="305"/>
      <c r="Y22" s="305"/>
    </row>
    <row r="23" spans="1:25" s="153" customFormat="1" ht="21.75" customHeight="1">
      <c r="A23" s="345" t="s">
        <v>110</v>
      </c>
      <c r="C23" s="16">
        <f>IFERROR(VLOOKUP(A23,' سهام'!$A$10:$U$99,15,0),0)</f>
        <v>337658</v>
      </c>
      <c r="D23" s="16"/>
      <c r="E23" s="16">
        <f>IFERROR(VLOOKUP(A23,' سهام'!$A$10:$U$99,21,0),0)</f>
        <v>2742251803</v>
      </c>
      <c r="F23" s="16"/>
      <c r="G23" s="16">
        <v>2641557119</v>
      </c>
      <c r="H23" s="16"/>
      <c r="I23" s="16">
        <f t="shared" si="0"/>
        <v>100694684</v>
      </c>
      <c r="J23" s="16"/>
      <c r="K23" s="16">
        <f>IFERROR(VLOOKUP(A23,' سهام'!$A$10:$U$99,15,0),0)</f>
        <v>337658</v>
      </c>
      <c r="L23" s="16"/>
      <c r="M23" s="16">
        <f>IFERROR(VLOOKUP(A23,' سهام'!$A$10:$U$99,21,0),0)</f>
        <v>2742251803</v>
      </c>
      <c r="N23" s="16"/>
      <c r="O23" s="16">
        <v>2733723831</v>
      </c>
      <c r="P23" s="16"/>
      <c r="Q23" s="16">
        <f t="shared" si="1"/>
        <v>8527972</v>
      </c>
      <c r="R23" s="305"/>
      <c r="S23" s="130"/>
      <c r="T23" s="305"/>
      <c r="U23" s="45"/>
      <c r="V23" s="45"/>
      <c r="W23" s="305"/>
      <c r="X23" s="305"/>
      <c r="Y23" s="305"/>
    </row>
    <row r="24" spans="1:25" s="153" customFormat="1" ht="21.75" customHeight="1">
      <c r="A24" s="345" t="s">
        <v>125</v>
      </c>
      <c r="C24" s="16">
        <f>IFERROR(VLOOKUP(A24,' سهام'!$A$10:$U$99,15,0),0)</f>
        <v>572500</v>
      </c>
      <c r="D24" s="16"/>
      <c r="E24" s="16">
        <f>IFERROR(VLOOKUP(A24,' سهام'!$A$10:$U$99,21,0),0)</f>
        <v>6453521710</v>
      </c>
      <c r="F24" s="16"/>
      <c r="G24" s="16">
        <v>6208811451</v>
      </c>
      <c r="H24" s="16"/>
      <c r="I24" s="16">
        <f t="shared" si="0"/>
        <v>244710259</v>
      </c>
      <c r="J24" s="16"/>
      <c r="K24" s="16">
        <f>IFERROR(VLOOKUP(A24,' سهام'!$A$10:$U$99,15,0),0)</f>
        <v>572500</v>
      </c>
      <c r="L24" s="16"/>
      <c r="M24" s="16">
        <f>IFERROR(VLOOKUP(A24,' سهام'!$A$10:$U$99,21,0),0)</f>
        <v>6453521710</v>
      </c>
      <c r="N24" s="16"/>
      <c r="O24" s="16">
        <v>7563861753</v>
      </c>
      <c r="P24" s="16"/>
      <c r="Q24" s="16">
        <f t="shared" si="1"/>
        <v>-1110340043</v>
      </c>
      <c r="R24" s="305"/>
      <c r="S24" s="130"/>
      <c r="T24" s="305"/>
      <c r="U24" s="45"/>
      <c r="V24" s="45"/>
      <c r="W24" s="305"/>
      <c r="X24" s="305"/>
      <c r="Y24" s="305"/>
    </row>
    <row r="25" spans="1:25" s="153" customFormat="1" ht="21.75" customHeight="1">
      <c r="A25" s="345" t="s">
        <v>126</v>
      </c>
      <c r="C25" s="16">
        <f>IFERROR(VLOOKUP(A25,' سهام'!$A$10:$U$99,15,0),0)</f>
        <v>200000</v>
      </c>
      <c r="D25" s="16"/>
      <c r="E25" s="16">
        <f>IFERROR(VLOOKUP(A25,' سهام'!$A$10:$U$99,21,0),0)</f>
        <v>2057683500</v>
      </c>
      <c r="F25" s="16"/>
      <c r="G25" s="16">
        <v>2013945300</v>
      </c>
      <c r="H25" s="16"/>
      <c r="I25" s="16">
        <f t="shared" si="0"/>
        <v>43738200</v>
      </c>
      <c r="J25" s="16"/>
      <c r="K25" s="16">
        <f>IFERROR(VLOOKUP(A25,' سهام'!$A$10:$U$99,15,0),0)</f>
        <v>200000</v>
      </c>
      <c r="L25" s="16"/>
      <c r="M25" s="16">
        <f>IFERROR(VLOOKUP(A25,' سهام'!$A$10:$U$99,21,0),0)</f>
        <v>2057683500</v>
      </c>
      <c r="N25" s="16"/>
      <c r="O25" s="16">
        <v>1691534520</v>
      </c>
      <c r="P25" s="16"/>
      <c r="Q25" s="16">
        <f t="shared" si="1"/>
        <v>366148980</v>
      </c>
      <c r="R25" s="305"/>
      <c r="S25" s="130"/>
      <c r="T25" s="305"/>
      <c r="U25" s="45"/>
      <c r="V25" s="45"/>
      <c r="W25" s="305"/>
      <c r="X25" s="305"/>
      <c r="Y25" s="305"/>
    </row>
    <row r="26" spans="1:25" s="153" customFormat="1" ht="21.75" customHeight="1">
      <c r="A26" s="345" t="s">
        <v>141</v>
      </c>
      <c r="C26" s="16">
        <f>IFERROR(VLOOKUP(A26,' سهام'!$A$10:$U$99,15,0),0)</f>
        <v>535000</v>
      </c>
      <c r="D26" s="16"/>
      <c r="E26" s="16">
        <f>IFERROR(VLOOKUP(A26,' سهام'!$A$10:$U$99,21,0),0)</f>
        <v>6365846500</v>
      </c>
      <c r="F26" s="16"/>
      <c r="G26" s="16">
        <v>4330993020</v>
      </c>
      <c r="H26" s="16"/>
      <c r="I26" s="16">
        <f t="shared" si="0"/>
        <v>2034853480</v>
      </c>
      <c r="J26" s="16"/>
      <c r="K26" s="16">
        <f>IFERROR(VLOOKUP(A26,' سهام'!$A$10:$U$99,15,0),0)</f>
        <v>535000</v>
      </c>
      <c r="L26" s="16"/>
      <c r="M26" s="16">
        <f>IFERROR(VLOOKUP(A26,' سهام'!$A$10:$U$99,21,0),0)</f>
        <v>6365846500</v>
      </c>
      <c r="N26" s="16"/>
      <c r="O26" s="16">
        <v>5461954956</v>
      </c>
      <c r="P26" s="16"/>
      <c r="Q26" s="16">
        <f t="shared" si="1"/>
        <v>903891544</v>
      </c>
      <c r="R26" s="305"/>
      <c r="S26" s="130"/>
      <c r="T26" s="305"/>
      <c r="U26" s="45"/>
      <c r="V26" s="45"/>
      <c r="W26" s="305"/>
      <c r="X26" s="305"/>
      <c r="Y26" s="305"/>
    </row>
    <row r="27" spans="1:25" s="153" customFormat="1" ht="21.75" customHeight="1">
      <c r="A27" s="345" t="s">
        <v>112</v>
      </c>
      <c r="C27" s="16">
        <f>IFERROR(VLOOKUP(A27,اوراق!$A$9:$AE$48,25,0),0)</f>
        <v>13420</v>
      </c>
      <c r="D27" s="16"/>
      <c r="E27" s="16">
        <f>IFERROR(VLOOKUP(A27,اوراق!$A$9:$AE$48,31,0),0)</f>
        <v>10108124573</v>
      </c>
      <c r="F27" s="16"/>
      <c r="G27" s="16">
        <v>9939686964</v>
      </c>
      <c r="H27" s="16"/>
      <c r="I27" s="16">
        <f t="shared" si="0"/>
        <v>168437609</v>
      </c>
      <c r="J27" s="16"/>
      <c r="K27" s="16">
        <f>IFERROR(VLOOKUP(A27,اوراق!$A$9:$AE$48,25,0),0)</f>
        <v>13420</v>
      </c>
      <c r="L27" s="16"/>
      <c r="M27" s="16">
        <f>IFERROR(VLOOKUP(A27,اوراق!$A$9:$AE$48,31,0),0)</f>
        <v>10108124573</v>
      </c>
      <c r="N27" s="16"/>
      <c r="O27" s="16">
        <v>9046611948</v>
      </c>
      <c r="P27" s="16"/>
      <c r="Q27" s="16">
        <f t="shared" si="1"/>
        <v>1061512625</v>
      </c>
      <c r="R27" s="305"/>
      <c r="S27" s="130"/>
      <c r="T27" s="305"/>
      <c r="U27" s="45"/>
      <c r="V27" s="45"/>
      <c r="W27" s="305"/>
      <c r="X27" s="305"/>
      <c r="Y27" s="305"/>
    </row>
    <row r="28" spans="1:25" s="153" customFormat="1" ht="21.75" customHeight="1">
      <c r="A28" s="345" t="s">
        <v>127</v>
      </c>
      <c r="C28" s="16">
        <f>IFERROR(VLOOKUP(A28,اوراق!$A$9:$AE$48,25,0),0)</f>
        <v>8000</v>
      </c>
      <c r="D28" s="16"/>
      <c r="E28" s="16">
        <f>IFERROR(VLOOKUP(A28,اوراق!$A$9:$AE$48,31,0),0)</f>
        <v>5520359254</v>
      </c>
      <c r="F28" s="16"/>
      <c r="G28" s="16">
        <v>5435654610</v>
      </c>
      <c r="H28" s="16"/>
      <c r="I28" s="16">
        <f t="shared" si="0"/>
        <v>84704644</v>
      </c>
      <c r="J28" s="16"/>
      <c r="K28" s="16">
        <f>IFERROR(VLOOKUP(A28,اوراق!$A$9:$AE$48,25,0),0)</f>
        <v>8000</v>
      </c>
      <c r="L28" s="16"/>
      <c r="M28" s="16">
        <f>IFERROR(VLOOKUP(A28,اوراق!$A$9:$AE$48,31,0),0)</f>
        <v>5520359254</v>
      </c>
      <c r="N28" s="16"/>
      <c r="O28" s="16">
        <v>4953173588</v>
      </c>
      <c r="P28" s="16"/>
      <c r="Q28" s="16">
        <f t="shared" si="1"/>
        <v>567185666</v>
      </c>
      <c r="R28" s="305"/>
      <c r="S28" s="130"/>
      <c r="T28" s="305"/>
      <c r="U28" s="45"/>
      <c r="V28" s="45"/>
      <c r="W28" s="305"/>
      <c r="X28" s="305"/>
      <c r="Y28" s="305"/>
    </row>
    <row r="29" spans="1:25" s="153" customFormat="1" ht="21.75" customHeight="1">
      <c r="A29" s="345" t="s">
        <v>114</v>
      </c>
      <c r="C29" s="16">
        <f>IFERROR(VLOOKUP(A29,اوراق!$A$9:$AE$48,25,0),0)</f>
        <v>11290</v>
      </c>
      <c r="D29" s="16"/>
      <c r="E29" s="16">
        <f>IFERROR(VLOOKUP(A29,اوراق!$A$9:$AE$48,31,0),0)</f>
        <v>6759678188</v>
      </c>
      <c r="F29" s="16"/>
      <c r="G29" s="16">
        <v>6709237348</v>
      </c>
      <c r="H29" s="16"/>
      <c r="I29" s="16">
        <f t="shared" si="0"/>
        <v>50440840</v>
      </c>
      <c r="J29" s="16"/>
      <c r="K29" s="16">
        <f>IFERROR(VLOOKUP(A29,اوراق!$A$9:$AE$48,25,0),0)</f>
        <v>11290</v>
      </c>
      <c r="L29" s="16"/>
      <c r="M29" s="16">
        <f>IFERROR(VLOOKUP(A29,اوراق!$A$9:$AE$48,31,0),0)</f>
        <v>6759678188</v>
      </c>
      <c r="N29" s="16"/>
      <c r="O29" s="16">
        <v>6193536840</v>
      </c>
      <c r="P29" s="16"/>
      <c r="Q29" s="16">
        <f t="shared" si="1"/>
        <v>566141348</v>
      </c>
      <c r="R29" s="305"/>
      <c r="S29" s="130"/>
      <c r="T29" s="305"/>
      <c r="U29" s="45"/>
      <c r="V29" s="45"/>
      <c r="W29" s="305"/>
      <c r="X29" s="305"/>
      <c r="Y29" s="305"/>
    </row>
    <row r="30" spans="1:25" ht="23.25" thickBot="1">
      <c r="A30" s="346"/>
      <c r="B30" s="346"/>
      <c r="C30" s="346"/>
      <c r="D30" s="346"/>
      <c r="E30" s="76">
        <f>SUM(E7:E29)</f>
        <v>89463234481</v>
      </c>
      <c r="F30" s="16"/>
      <c r="G30" s="76">
        <f>SUM(G7:G29)</f>
        <v>84698511677</v>
      </c>
      <c r="H30" s="16"/>
      <c r="I30" s="76">
        <f>SUM(I7:I29)</f>
        <v>4764722804</v>
      </c>
      <c r="J30" s="31"/>
      <c r="K30" s="16"/>
      <c r="L30" s="31"/>
      <c r="M30" s="76">
        <f>SUM(M7:M29)</f>
        <v>89463234481</v>
      </c>
      <c r="N30" s="16"/>
      <c r="O30" s="76">
        <f>SUM(O7:O29)</f>
        <v>90231259327</v>
      </c>
      <c r="P30" s="16"/>
      <c r="Q30" s="76">
        <f>SUM(Q7:Q29)</f>
        <v>-768024846</v>
      </c>
      <c r="R30" s="341"/>
      <c r="S30" s="341"/>
      <c r="T30" s="341"/>
    </row>
    <row r="31" spans="1:25" ht="23.25" thickTop="1">
      <c r="A31" s="168"/>
      <c r="B31" s="168"/>
      <c r="C31" s="175"/>
      <c r="D31" s="168"/>
      <c r="E31" s="52"/>
      <c r="F31" s="31"/>
      <c r="G31" s="52"/>
      <c r="H31" s="31"/>
      <c r="I31" s="52"/>
      <c r="J31" s="31"/>
      <c r="K31" s="175"/>
      <c r="L31" s="31"/>
      <c r="M31" s="52"/>
      <c r="N31" s="31"/>
      <c r="O31" s="52"/>
      <c r="P31" s="31"/>
      <c r="Q31" s="52"/>
      <c r="R31" s="341"/>
      <c r="S31" s="341"/>
      <c r="T31" s="341"/>
    </row>
    <row r="32" spans="1:25" ht="22.5">
      <c r="A32" s="168"/>
      <c r="B32" s="168"/>
      <c r="C32" s="175"/>
      <c r="D32" s="168"/>
      <c r="E32" s="52"/>
      <c r="F32" s="31"/>
      <c r="G32" s="52"/>
      <c r="H32" s="31"/>
      <c r="I32" s="52"/>
      <c r="J32" s="31"/>
      <c r="K32" s="175"/>
      <c r="L32" s="31"/>
      <c r="M32" s="52"/>
      <c r="N32" s="31"/>
      <c r="O32" s="52"/>
      <c r="P32" s="31"/>
      <c r="Q32" s="52"/>
      <c r="R32" s="341"/>
      <c r="S32" s="341"/>
      <c r="T32" s="341"/>
    </row>
    <row r="33" spans="1:17" ht="7.5" customHeight="1">
      <c r="A33" s="168"/>
      <c r="B33" s="168"/>
    </row>
    <row r="34" spans="1:17" ht="24.75" customHeight="1">
      <c r="A34" s="347" t="s">
        <v>40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9"/>
    </row>
    <row r="35" spans="1:17">
      <c r="Q35" s="350"/>
    </row>
    <row r="36" spans="1:17" s="16" customFormat="1"/>
    <row r="37" spans="1:17" s="16" customFormat="1"/>
    <row r="38" spans="1:17" s="16" customFormat="1"/>
    <row r="39" spans="1:17" s="16" customFormat="1"/>
    <row r="40" spans="1:17" s="16" customFormat="1"/>
    <row r="41" spans="1:17" s="32" customFormat="1" ht="24">
      <c r="I41" s="16"/>
      <c r="Q41" s="16"/>
    </row>
    <row r="42" spans="1:17" s="32" customFormat="1" ht="24"/>
    <row r="43" spans="1:17" s="32" customFormat="1" ht="24"/>
    <row r="44" spans="1:17">
      <c r="A44" s="16"/>
      <c r="C44" s="341"/>
      <c r="D44" s="301"/>
      <c r="E44" s="301"/>
      <c r="F44" s="301"/>
      <c r="G44" s="301"/>
      <c r="H44" s="301"/>
      <c r="I44" s="341"/>
      <c r="J44" s="301"/>
      <c r="K44" s="341"/>
      <c r="L44" s="301"/>
      <c r="M44" s="322"/>
      <c r="N44" s="301"/>
      <c r="O44" s="301"/>
      <c r="P44" s="301"/>
      <c r="Q44" s="341"/>
    </row>
    <row r="45" spans="1:17" ht="24">
      <c r="A45" s="351"/>
      <c r="C45" s="16"/>
      <c r="D45" s="16"/>
      <c r="E45" s="352"/>
      <c r="F45" s="16"/>
      <c r="G45" s="353"/>
      <c r="H45" s="16"/>
      <c r="I45" s="16"/>
      <c r="J45" s="16"/>
      <c r="K45" s="16"/>
      <c r="L45" s="16"/>
      <c r="M45" s="34"/>
      <c r="N45" s="16"/>
      <c r="O45" s="16"/>
      <c r="P45" s="16"/>
      <c r="Q45" s="16"/>
    </row>
    <row r="46" spans="1:17" s="32" customFormat="1" ht="24">
      <c r="I46" s="26"/>
      <c r="J46" s="34"/>
      <c r="K46" s="34"/>
      <c r="L46" s="34"/>
      <c r="M46" s="34"/>
      <c r="N46" s="34"/>
      <c r="O46" s="34"/>
      <c r="P46" s="34"/>
      <c r="Q46" s="26"/>
    </row>
    <row r="47" spans="1:17" s="32" customFormat="1" ht="24">
      <c r="I47" s="16"/>
      <c r="Q47" s="16"/>
    </row>
    <row r="48" spans="1:17" s="32" customFormat="1" ht="24">
      <c r="I48" s="26"/>
      <c r="Q48" s="26"/>
    </row>
    <row r="49" s="32" customFormat="1" ht="24"/>
    <row r="50" s="32" customFormat="1" ht="24"/>
    <row r="51" s="32" customFormat="1" ht="24"/>
    <row r="52" s="32" customFormat="1" ht="24"/>
    <row r="53" s="32" customFormat="1" ht="24"/>
    <row r="54" s="32" customFormat="1" ht="24"/>
  </sheetData>
  <autoFilter ref="A6:Q6" xr:uid="{00000000-0009-0000-0000-000008000000}">
    <sortState xmlns:xlrd2="http://schemas.microsoft.com/office/spreadsheetml/2017/richdata2" ref="A7:Q32">
      <sortCondition descending="1" ref="Q6"/>
    </sortState>
  </autoFilter>
  <mergeCells count="7">
    <mergeCell ref="A34:Q34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19</vt:i4>
      </vt:variant>
    </vt:vector>
  </HeadingPairs>
  <TitlesOfParts>
    <vt:vector size="34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ازفروش</vt:lpstr>
      <vt:lpstr>درآمد ناشی از تغییر قیمت  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 سهام'!Print_Titles</vt:lpstr>
      <vt:lpstr>'درآمد سرمایه گذاری در سهام '!Print_Titles</vt:lpstr>
      <vt:lpstr>'درآمد ناشی از تغییر قیمت 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Fatemeh Bakhtiari</cp:lastModifiedBy>
  <cp:lastPrinted>2023-10-25T16:54:14Z</cp:lastPrinted>
  <dcterms:created xsi:type="dcterms:W3CDTF">2017-11-22T14:26:20Z</dcterms:created>
  <dcterms:modified xsi:type="dcterms:W3CDTF">2024-07-29T10:34:16Z</dcterms:modified>
</cp:coreProperties>
</file>