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W:\fund\8 صندوق با تضمین کیان\گزارش ماهانه\1403\3- خرداد\"/>
    </mc:Choice>
  </mc:AlternateContent>
  <xr:revisionPtr revIDLastSave="0" documentId="13_ncr:1_{B0FBCA9D-6907-4A3F-BAE3-1DA3F0AA18F0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20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درآمد سپرده بانکی" sheetId="7" r:id="rId9"/>
    <sheet name="سایر درآمدها" sheetId="8" r:id="rId10"/>
    <sheet name="درآمد سود سهام" sheetId="18" r:id="rId11"/>
    <sheet name="سود اوراق بهادار" sheetId="13" r:id="rId12"/>
    <sheet name="سود سپرده بانکی" sheetId="21" r:id="rId13"/>
    <sheet name="درآمد ناشی ازفروش" sheetId="15" r:id="rId14"/>
    <sheet name="درآمد ناشی از تغییر قیمت  " sheetId="14" r:id="rId15"/>
  </sheets>
  <definedNames>
    <definedName name="_xlnm._FilterDatabase" localSheetId="1" hidden="1">' سهام'!$A$9:$W$9</definedName>
    <definedName name="_xlnm._FilterDatabase" localSheetId="3" hidden="1">'تعدیل اوراق'!$A$9:$M$9</definedName>
    <definedName name="_xlnm._FilterDatabase" localSheetId="8" hidden="1">'درآمد سپرده بانکی'!$A$7:$J$7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'!$A$10:$U$10</definedName>
    <definedName name="_xlnm._FilterDatabase" localSheetId="10" hidden="1">'درآمد سود سهام'!$A$7:$S$7</definedName>
    <definedName name="_xlnm._FilterDatabase" localSheetId="14" hidden="1">'درآمد ناشی از تغییر قیمت  '!$A$6:$Q$6</definedName>
    <definedName name="_xlnm._FilterDatabase" localSheetId="13" hidden="1">'درآمد ناشی ازفروش'!$A$6:$Q$6</definedName>
    <definedName name="_xlnm._FilterDatabase" localSheetId="4" hidden="1">سپرده!$A$8:$K$8</definedName>
    <definedName name="_xlnm._FilterDatabase" localSheetId="11" hidden="1">'سود اوراق بهادار'!$A$6:$R$6</definedName>
    <definedName name="_xlnm._FilterDatabase" localSheetId="12" hidden="1">'سود سپرده بانکی'!$A$6:$L$6</definedName>
    <definedName name="a">#REF!</definedName>
    <definedName name="bb">#REF!</definedName>
    <definedName name="_xlnm.Print_Area" localSheetId="1">' سهام'!$A$1:$W$32</definedName>
    <definedName name="_xlnm.Print_Area" localSheetId="2">اوراق!$A$1:$AG$15</definedName>
    <definedName name="_xlnm.Print_Area" localSheetId="3">'تعدیل اوراق'!$A$1:$M$11</definedName>
    <definedName name="_xlnm.Print_Area" localSheetId="8">'درآمد سپرده بانکی'!$A$1:$J$12</definedName>
    <definedName name="_xlnm.Print_Area" localSheetId="7">'درآمد سرمایه گذاری در اوراق بها'!$A$1:$Q$16</definedName>
    <definedName name="_xlnm.Print_Area" localSheetId="6">'درآمد سرمایه گذاری در سهام '!$A$1:$U$40</definedName>
    <definedName name="_xlnm.Print_Area" localSheetId="10">'درآمد سود سهام'!$A$1:$S$20</definedName>
    <definedName name="_xlnm.Print_Area" localSheetId="14">'درآمد ناشی از تغییر قیمت  '!$A$1:$Q$38</definedName>
    <definedName name="_xlnm.Print_Area" localSheetId="13">'درآمد ناشی ازفروش'!$A$1:$Q$43</definedName>
    <definedName name="_xlnm.Print_Area" localSheetId="5">درآمدها!$A$1:$I$13</definedName>
    <definedName name="_xlnm.Print_Area" localSheetId="0">روکش!$A$1:$J$36</definedName>
    <definedName name="_xlnm.Print_Area" localSheetId="9">'سایر درآمدها'!$A$1:$E$12</definedName>
    <definedName name="_xlnm.Print_Area" localSheetId="4">سپرده!$A$1:$K$14</definedName>
    <definedName name="_xlnm.Print_Area" localSheetId="11">'سود اوراق بهادار'!$A$1:$R$12</definedName>
    <definedName name="_xlnm.Print_Area" localSheetId="12">'سود سپرده بانکی'!$A$1:$L$12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4">'درآمد ناشی از تغییر قیمت  '!$5:$6</definedName>
    <definedName name="_xlnm.Print_Titles" localSheetId="13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1" l="1"/>
  <c r="C11" i="8" l="1"/>
  <c r="E11" i="8"/>
  <c r="C8" i="7"/>
  <c r="I18" i="18" l="1"/>
  <c r="C10" i="6"/>
  <c r="A3" i="14"/>
  <c r="A3" i="15"/>
  <c r="A3" i="21"/>
  <c r="A3" i="13"/>
  <c r="A3" i="18"/>
  <c r="M11" i="18"/>
  <c r="F7" i="21"/>
  <c r="C10" i="7" s="1"/>
  <c r="Q37" i="5" l="1"/>
  <c r="O12" i="5"/>
  <c r="O16" i="5"/>
  <c r="O22" i="5"/>
  <c r="O30" i="5"/>
  <c r="O33" i="5"/>
  <c r="O34" i="5"/>
  <c r="O38" i="5"/>
  <c r="G37" i="5"/>
  <c r="E12" i="5"/>
  <c r="E16" i="5"/>
  <c r="E22" i="5"/>
  <c r="E30" i="5"/>
  <c r="E33" i="5"/>
  <c r="E34" i="5"/>
  <c r="E38" i="5"/>
  <c r="C11" i="5"/>
  <c r="C12" i="5"/>
  <c r="C16" i="5"/>
  <c r="E31" i="1"/>
  <c r="E35" i="15"/>
  <c r="I35" i="15" s="1"/>
  <c r="E36" i="15"/>
  <c r="E37" i="15"/>
  <c r="I37" i="15" s="1"/>
  <c r="E34" i="15"/>
  <c r="I34" i="15" s="1"/>
  <c r="C35" i="15"/>
  <c r="C36" i="15"/>
  <c r="C37" i="15"/>
  <c r="C34" i="15"/>
  <c r="Q34" i="15"/>
  <c r="O33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7" i="14"/>
  <c r="M8" i="14"/>
  <c r="M9" i="14"/>
  <c r="M10" i="14"/>
  <c r="M11" i="14"/>
  <c r="M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7" i="14"/>
  <c r="K8" i="14"/>
  <c r="K9" i="14"/>
  <c r="K10" i="14"/>
  <c r="K11" i="14"/>
  <c r="K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7" i="14"/>
  <c r="E8" i="14"/>
  <c r="E9" i="14"/>
  <c r="E10" i="14"/>
  <c r="E11" i="14"/>
  <c r="E12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7" i="14"/>
  <c r="M29" i="14"/>
  <c r="M30" i="14"/>
  <c r="M31" i="14"/>
  <c r="M32" i="14"/>
  <c r="M28" i="14"/>
  <c r="K29" i="14"/>
  <c r="K30" i="14"/>
  <c r="K31" i="14"/>
  <c r="K32" i="14"/>
  <c r="K28" i="14"/>
  <c r="E29" i="14"/>
  <c r="E30" i="14"/>
  <c r="E31" i="14"/>
  <c r="E32" i="14"/>
  <c r="E28" i="14"/>
  <c r="C29" i="14"/>
  <c r="C30" i="14"/>
  <c r="C31" i="14"/>
  <c r="C32" i="14"/>
  <c r="C28" i="14"/>
  <c r="E8" i="15"/>
  <c r="I8" i="15" s="1"/>
  <c r="G18" i="5" s="1"/>
  <c r="E9" i="15"/>
  <c r="I9" i="15" s="1"/>
  <c r="G26" i="5" s="1"/>
  <c r="E10" i="15"/>
  <c r="E11" i="15"/>
  <c r="I11" i="15" s="1"/>
  <c r="G17" i="5" s="1"/>
  <c r="E12" i="15"/>
  <c r="I12" i="15" s="1"/>
  <c r="G24" i="5" s="1"/>
  <c r="E13" i="15"/>
  <c r="E14" i="15"/>
  <c r="I14" i="15" s="1"/>
  <c r="G23" i="5" s="1"/>
  <c r="E15" i="15"/>
  <c r="I15" i="15" s="1"/>
  <c r="G19" i="5" s="1"/>
  <c r="E16" i="15"/>
  <c r="I16" i="15" s="1"/>
  <c r="G12" i="5" s="1"/>
  <c r="E17" i="15"/>
  <c r="I17" i="15" s="1"/>
  <c r="G28" i="5" s="1"/>
  <c r="E18" i="15"/>
  <c r="I18" i="15" s="1"/>
  <c r="G33" i="5" s="1"/>
  <c r="E19" i="15"/>
  <c r="I19" i="15" s="1"/>
  <c r="G27" i="5" s="1"/>
  <c r="E20" i="15"/>
  <c r="I20" i="15" s="1"/>
  <c r="G34" i="5" s="1"/>
  <c r="E21" i="15"/>
  <c r="I21" i="15" s="1"/>
  <c r="G30" i="5" s="1"/>
  <c r="E22" i="15"/>
  <c r="I22" i="15" s="1"/>
  <c r="G22" i="5" s="1"/>
  <c r="E23" i="15"/>
  <c r="I23" i="15" s="1"/>
  <c r="G14" i="5" s="1"/>
  <c r="E24" i="15"/>
  <c r="E25" i="15"/>
  <c r="I25" i="15" s="1"/>
  <c r="G31" i="5" s="1"/>
  <c r="E26" i="15"/>
  <c r="I26" i="15" s="1"/>
  <c r="G25" i="5" s="1"/>
  <c r="E27" i="15"/>
  <c r="I27" i="15" s="1"/>
  <c r="G29" i="5" s="1"/>
  <c r="E28" i="15"/>
  <c r="I28" i="15" s="1"/>
  <c r="G36" i="5" s="1"/>
  <c r="E29" i="15"/>
  <c r="I29" i="15" s="1"/>
  <c r="G32" i="5" s="1"/>
  <c r="E30" i="15"/>
  <c r="I30" i="15" s="1"/>
  <c r="G35" i="5" s="1"/>
  <c r="E31" i="15"/>
  <c r="I31" i="15" s="1"/>
  <c r="G13" i="5" s="1"/>
  <c r="E32" i="15"/>
  <c r="I32" i="15" s="1"/>
  <c r="G11" i="5" s="1"/>
  <c r="E33" i="15"/>
  <c r="I33" i="15" s="1"/>
  <c r="G38" i="5" s="1"/>
  <c r="E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7" i="15"/>
  <c r="I10" i="15"/>
  <c r="G21" i="5" s="1"/>
  <c r="O38" i="15"/>
  <c r="Q8" i="15"/>
  <c r="Q18" i="5" s="1"/>
  <c r="Q9" i="15"/>
  <c r="Q26" i="5" s="1"/>
  <c r="Q10" i="15"/>
  <c r="Q21" i="5" s="1"/>
  <c r="Q11" i="15"/>
  <c r="Q17" i="5" s="1"/>
  <c r="Q12" i="15"/>
  <c r="Q24" i="5" s="1"/>
  <c r="Q13" i="15"/>
  <c r="Q20" i="5" s="1"/>
  <c r="Q14" i="15"/>
  <c r="Q23" i="5" s="1"/>
  <c r="Q15" i="15"/>
  <c r="Q19" i="5" s="1"/>
  <c r="Q16" i="15"/>
  <c r="Q12" i="5" s="1"/>
  <c r="Q17" i="15"/>
  <c r="Q28" i="5" s="1"/>
  <c r="Q18" i="15"/>
  <c r="Q33" i="5" s="1"/>
  <c r="Q19" i="15"/>
  <c r="Q27" i="5" s="1"/>
  <c r="Q20" i="15"/>
  <c r="Q34" i="5" s="1"/>
  <c r="Q21" i="15"/>
  <c r="Q30" i="5" s="1"/>
  <c r="Q22" i="15"/>
  <c r="Q22" i="5" s="1"/>
  <c r="Q23" i="15"/>
  <c r="Q14" i="5" s="1"/>
  <c r="Q24" i="15"/>
  <c r="Q16" i="5" s="1"/>
  <c r="Q25" i="15"/>
  <c r="Q31" i="5" s="1"/>
  <c r="Q26" i="15"/>
  <c r="Q25" i="5" s="1"/>
  <c r="Q27" i="15"/>
  <c r="Q29" i="5" s="1"/>
  <c r="Q28" i="15"/>
  <c r="Q36" i="5" s="1"/>
  <c r="Q29" i="15"/>
  <c r="Q32" i="5" s="1"/>
  <c r="Q30" i="15"/>
  <c r="Q35" i="5" s="1"/>
  <c r="Q31" i="15"/>
  <c r="Q13" i="5" s="1"/>
  <c r="Q32" i="15"/>
  <c r="Q11" i="5" s="1"/>
  <c r="Q33" i="15"/>
  <c r="Q38" i="5" s="1"/>
  <c r="Q35" i="15"/>
  <c r="Q36" i="15"/>
  <c r="Q37" i="15"/>
  <c r="I36" i="15"/>
  <c r="I13" i="15"/>
  <c r="G20" i="5" s="1"/>
  <c r="I24" i="15"/>
  <c r="G16" i="5" s="1"/>
  <c r="Q18" i="18"/>
  <c r="M9" i="18"/>
  <c r="C14" i="5" s="1"/>
  <c r="M10" i="18"/>
  <c r="M12" i="18"/>
  <c r="C13" i="5" s="1"/>
  <c r="M13" i="18"/>
  <c r="M14" i="18"/>
  <c r="M15" i="18"/>
  <c r="M16" i="18"/>
  <c r="M17" i="18"/>
  <c r="M8" i="18"/>
  <c r="C15" i="5" s="1"/>
  <c r="K18" i="18"/>
  <c r="I7" i="14" l="1"/>
  <c r="E33" i="14"/>
  <c r="E38" i="15"/>
  <c r="I12" i="5"/>
  <c r="I16" i="5"/>
  <c r="M18" i="18"/>
  <c r="O17" i="18"/>
  <c r="O16" i="18"/>
  <c r="O15" i="18"/>
  <c r="O14" i="18"/>
  <c r="O13" i="18"/>
  <c r="O12" i="18"/>
  <c r="O11" i="18"/>
  <c r="O10" i="18"/>
  <c r="O9" i="18"/>
  <c r="O8" i="18"/>
  <c r="K5" i="14"/>
  <c r="K5" i="15"/>
  <c r="H5" i="21"/>
  <c r="N6" i="13"/>
  <c r="E5" i="8"/>
  <c r="G6" i="7"/>
  <c r="C5" i="14"/>
  <c r="C5" i="15"/>
  <c r="B5" i="21"/>
  <c r="H6" i="13"/>
  <c r="C5" i="8"/>
  <c r="C6" i="6"/>
  <c r="K6" i="6"/>
  <c r="C6" i="7"/>
  <c r="O14" i="6"/>
  <c r="O13" i="6"/>
  <c r="O12" i="6"/>
  <c r="O11" i="6"/>
  <c r="O10" i="6"/>
  <c r="O15" i="6" s="1"/>
  <c r="G12" i="6"/>
  <c r="G14" i="6"/>
  <c r="K11" i="6"/>
  <c r="K12" i="6"/>
  <c r="K13" i="6"/>
  <c r="K14" i="6"/>
  <c r="K10" i="6"/>
  <c r="C11" i="6"/>
  <c r="C12" i="6"/>
  <c r="C13" i="6"/>
  <c r="C14" i="6"/>
  <c r="M38" i="5"/>
  <c r="M18" i="5"/>
  <c r="M19" i="5"/>
  <c r="M21" i="5"/>
  <c r="M22" i="5"/>
  <c r="M23" i="5"/>
  <c r="M25" i="5"/>
  <c r="M26" i="5"/>
  <c r="M28" i="5"/>
  <c r="M29" i="5"/>
  <c r="M30" i="5"/>
  <c r="M33" i="5"/>
  <c r="M34" i="5"/>
  <c r="M36" i="5"/>
  <c r="M12" i="5"/>
  <c r="M16" i="5"/>
  <c r="M17" i="5"/>
  <c r="M11" i="5"/>
  <c r="C28" i="5"/>
  <c r="C29" i="5"/>
  <c r="C30" i="5"/>
  <c r="C31" i="5"/>
  <c r="C32" i="5"/>
  <c r="C33" i="5"/>
  <c r="C34" i="5"/>
  <c r="C35" i="5"/>
  <c r="C36" i="5"/>
  <c r="C37" i="5"/>
  <c r="C38" i="5"/>
  <c r="C22" i="5"/>
  <c r="C23" i="5"/>
  <c r="C24" i="5"/>
  <c r="C25" i="5"/>
  <c r="C26" i="5"/>
  <c r="C27" i="5"/>
  <c r="C17" i="5"/>
  <c r="C39" i="5" s="1"/>
  <c r="C18" i="5"/>
  <c r="C19" i="5"/>
  <c r="C20" i="5"/>
  <c r="C21" i="5"/>
  <c r="Q9" i="13"/>
  <c r="P9" i="13"/>
  <c r="N9" i="13"/>
  <c r="J9" i="13"/>
  <c r="H9" i="13"/>
  <c r="R8" i="13"/>
  <c r="R9" i="13" s="1"/>
  <c r="L8" i="13"/>
  <c r="L9" i="13" s="1"/>
  <c r="K10" i="21"/>
  <c r="J10" i="21"/>
  <c r="H10" i="21"/>
  <c r="D10" i="21"/>
  <c r="B10" i="21"/>
  <c r="L9" i="21"/>
  <c r="G9" i="7" s="1"/>
  <c r="F9" i="21"/>
  <c r="C9" i="7" s="1"/>
  <c r="L8" i="21"/>
  <c r="G8" i="7" s="1"/>
  <c r="F8" i="21"/>
  <c r="L7" i="21"/>
  <c r="C15" i="6" l="1"/>
  <c r="G10" i="7"/>
  <c r="G11" i="7" s="1"/>
  <c r="S8" i="18"/>
  <c r="M15" i="5" s="1"/>
  <c r="O18" i="18"/>
  <c r="F10" i="21"/>
  <c r="L10" i="21"/>
  <c r="S33" i="5"/>
  <c r="I34" i="5"/>
  <c r="K34" i="5" s="1"/>
  <c r="S34" i="5"/>
  <c r="U34" i="5" s="1"/>
  <c r="S38" i="5"/>
  <c r="U38" i="5" s="1"/>
  <c r="I38" i="5"/>
  <c r="K38" i="5" s="1"/>
  <c r="S9" i="18"/>
  <c r="S10" i="18"/>
  <c r="M32" i="5" s="1"/>
  <c r="S11" i="18"/>
  <c r="M37" i="5" s="1"/>
  <c r="S12" i="18"/>
  <c r="M13" i="5" s="1"/>
  <c r="S13" i="18"/>
  <c r="M35" i="5" s="1"/>
  <c r="S14" i="18"/>
  <c r="M20" i="5" s="1"/>
  <c r="S15" i="18"/>
  <c r="M31" i="5" s="1"/>
  <c r="S16" i="18"/>
  <c r="M27" i="5" s="1"/>
  <c r="C12" i="2"/>
  <c r="K10" i="2"/>
  <c r="K11" i="2"/>
  <c r="I12" i="2"/>
  <c r="K10" i="20"/>
  <c r="K11" i="20" s="1"/>
  <c r="G31" i="1"/>
  <c r="I8" i="7" l="1"/>
  <c r="M14" i="5"/>
  <c r="K15" i="6"/>
  <c r="G33" i="14"/>
  <c r="Q7" i="15"/>
  <c r="Q15" i="5" s="1"/>
  <c r="M38" i="15"/>
  <c r="G38" i="15"/>
  <c r="K9" i="2"/>
  <c r="K12" i="2" s="1"/>
  <c r="G12" i="2"/>
  <c r="E12" i="2"/>
  <c r="AG10" i="17"/>
  <c r="AG11" i="17"/>
  <c r="AG12" i="17"/>
  <c r="AG13" i="17"/>
  <c r="AG9" i="17"/>
  <c r="AE14" i="17"/>
  <c r="AC14" i="17"/>
  <c r="W14" i="17"/>
  <c r="T14" i="17"/>
  <c r="Q14" i="17"/>
  <c r="O14" i="17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10" i="1"/>
  <c r="U31" i="1"/>
  <c r="S31" i="1"/>
  <c r="M31" i="1"/>
  <c r="J31" i="1"/>
  <c r="A3" i="20"/>
  <c r="A3" i="2"/>
  <c r="AG14" i="17" l="1"/>
  <c r="Q38" i="15"/>
  <c r="W31" i="1"/>
  <c r="Q13" i="14" l="1"/>
  <c r="O19" i="5" s="1"/>
  <c r="Q14" i="14"/>
  <c r="O20" i="5" s="1"/>
  <c r="Q15" i="14"/>
  <c r="O21" i="5" s="1"/>
  <c r="Q16" i="14"/>
  <c r="O23" i="5" s="1"/>
  <c r="Q17" i="14"/>
  <c r="O24" i="5" s="1"/>
  <c r="Q18" i="14"/>
  <c r="O25" i="5" s="1"/>
  <c r="Q19" i="14"/>
  <c r="O26" i="5" s="1"/>
  <c r="Q20" i="14"/>
  <c r="O27" i="5" s="1"/>
  <c r="Q26" i="14"/>
  <c r="Q27" i="14"/>
  <c r="Q28" i="14"/>
  <c r="Q29" i="14"/>
  <c r="M10" i="6" s="1"/>
  <c r="Q30" i="14"/>
  <c r="M14" i="6" s="1"/>
  <c r="Q31" i="14"/>
  <c r="M11" i="6" s="1"/>
  <c r="Q32" i="14"/>
  <c r="M13" i="6" s="1"/>
  <c r="Q8" i="14"/>
  <c r="O13" i="5" s="1"/>
  <c r="Q9" i="14"/>
  <c r="O14" i="5" s="1"/>
  <c r="Q10" i="14"/>
  <c r="O15" i="5" s="1"/>
  <c r="Q11" i="14"/>
  <c r="O17" i="5" s="1"/>
  <c r="Q7" i="14"/>
  <c r="I8" i="14"/>
  <c r="I9" i="14"/>
  <c r="E14" i="5" s="1"/>
  <c r="I14" i="5" s="1"/>
  <c r="I10" i="14"/>
  <c r="E15" i="5" s="1"/>
  <c r="I11" i="14"/>
  <c r="E17" i="5" s="1"/>
  <c r="I17" i="5" s="1"/>
  <c r="E11" i="5"/>
  <c r="G13" i="6"/>
  <c r="G10" i="6"/>
  <c r="I7" i="15"/>
  <c r="M12" i="6" l="1"/>
  <c r="I11" i="5"/>
  <c r="E13" i="5"/>
  <c r="I13" i="5" s="1"/>
  <c r="O11" i="5"/>
  <c r="G15" i="5"/>
  <c r="I15" i="5" s="1"/>
  <c r="I38" i="15"/>
  <c r="O37" i="5"/>
  <c r="S37" i="5" s="1"/>
  <c r="U37" i="5" s="1"/>
  <c r="O36" i="5"/>
  <c r="S36" i="5" s="1"/>
  <c r="U36" i="5" s="1"/>
  <c r="I20" i="14"/>
  <c r="E27" i="5" s="1"/>
  <c r="I31" i="14"/>
  <c r="E11" i="6" s="1"/>
  <c r="I25" i="14"/>
  <c r="I19" i="14"/>
  <c r="E26" i="5" s="1"/>
  <c r="I13" i="14"/>
  <c r="E19" i="5" s="1"/>
  <c r="I32" i="14"/>
  <c r="E13" i="6" s="1"/>
  <c r="I13" i="6" s="1"/>
  <c r="I30" i="14"/>
  <c r="E14" i="6" s="1"/>
  <c r="I18" i="14"/>
  <c r="E25" i="5" s="1"/>
  <c r="I26" i="14"/>
  <c r="I14" i="14"/>
  <c r="E20" i="5" s="1"/>
  <c r="I29" i="14"/>
  <c r="E10" i="6" s="1"/>
  <c r="I17" i="14"/>
  <c r="E24" i="5" s="1"/>
  <c r="I28" i="14"/>
  <c r="I16" i="14"/>
  <c r="E23" i="5" s="1"/>
  <c r="I27" i="14"/>
  <c r="E37" i="5" s="1"/>
  <c r="I15" i="14"/>
  <c r="E21" i="5" s="1"/>
  <c r="I12" i="14"/>
  <c r="I22" i="14"/>
  <c r="E29" i="5" s="1"/>
  <c r="M33" i="14"/>
  <c r="Q12" i="14"/>
  <c r="Q22" i="14"/>
  <c r="O29" i="5" s="1"/>
  <c r="I21" i="14"/>
  <c r="E28" i="5" s="1"/>
  <c r="Q21" i="14"/>
  <c r="O28" i="5" s="1"/>
  <c r="I24" i="14"/>
  <c r="E32" i="5" s="1"/>
  <c r="G11" i="6"/>
  <c r="G15" i="6" s="1"/>
  <c r="Q25" i="14"/>
  <c r="O35" i="5" s="1"/>
  <c r="Q24" i="14"/>
  <c r="O32" i="5" s="1"/>
  <c r="I23" i="14"/>
  <c r="E31" i="5" s="1"/>
  <c r="Q23" i="14"/>
  <c r="O31" i="5" s="1"/>
  <c r="E12" i="6" l="1"/>
  <c r="E15" i="6" s="1"/>
  <c r="E35" i="5"/>
  <c r="I35" i="5" s="1"/>
  <c r="K35" i="5" s="1"/>
  <c r="Q33" i="14"/>
  <c r="O18" i="5"/>
  <c r="O39" i="5" s="1"/>
  <c r="I33" i="14"/>
  <c r="E18" i="5"/>
  <c r="E36" i="5"/>
  <c r="I36" i="5" s="1"/>
  <c r="K36" i="5" s="1"/>
  <c r="S32" i="5"/>
  <c r="S26" i="5"/>
  <c r="U26" i="5" s="1"/>
  <c r="S35" i="5"/>
  <c r="U35" i="5" s="1"/>
  <c r="I30" i="5"/>
  <c r="K30" i="5" s="1"/>
  <c r="I37" i="5"/>
  <c r="K37" i="5" s="1"/>
  <c r="S23" i="5"/>
  <c r="U23" i="5" s="1"/>
  <c r="S29" i="5"/>
  <c r="U29" i="5" s="1"/>
  <c r="S22" i="5"/>
  <c r="U22" i="5" s="1"/>
  <c r="S25" i="5"/>
  <c r="U25" i="5" s="1"/>
  <c r="I32" i="5"/>
  <c r="K32" i="5" s="1"/>
  <c r="I33" i="5"/>
  <c r="K33" i="5" s="1"/>
  <c r="S19" i="5"/>
  <c r="U19" i="5" s="1"/>
  <c r="I11" i="6"/>
  <c r="Q14" i="6"/>
  <c r="I12" i="6" l="1"/>
  <c r="E39" i="5"/>
  <c r="S28" i="5"/>
  <c r="U28" i="5" s="1"/>
  <c r="I25" i="5"/>
  <c r="K25" i="5" s="1"/>
  <c r="I24" i="5"/>
  <c r="K24" i="5" s="1"/>
  <c r="I23" i="5"/>
  <c r="K23" i="5" s="1"/>
  <c r="I22" i="5"/>
  <c r="K22" i="5" s="1"/>
  <c r="I28" i="5"/>
  <c r="K28" i="5" s="1"/>
  <c r="Q39" i="5"/>
  <c r="K15" i="5"/>
  <c r="K11" i="5"/>
  <c r="I14" i="6"/>
  <c r="I31" i="5"/>
  <c r="K31" i="5" s="1"/>
  <c r="K12" i="5"/>
  <c r="E8" i="11"/>
  <c r="I8" i="11" s="1"/>
  <c r="K14" i="5" l="1"/>
  <c r="I27" i="5"/>
  <c r="K27" i="5" s="1"/>
  <c r="I29" i="5"/>
  <c r="K29" i="5" s="1"/>
  <c r="I19" i="5"/>
  <c r="K19" i="5" s="1"/>
  <c r="K16" i="5"/>
  <c r="I21" i="5"/>
  <c r="K21" i="5" s="1"/>
  <c r="K17" i="5"/>
  <c r="K13" i="5"/>
  <c r="I18" i="5"/>
  <c r="K18" i="5" s="1"/>
  <c r="I26" i="5"/>
  <c r="K26" i="5" s="1"/>
  <c r="G39" i="5"/>
  <c r="I20" i="5"/>
  <c r="K20" i="5" s="1"/>
  <c r="K39" i="5" l="1"/>
  <c r="I39" i="5"/>
  <c r="Y6" i="17" a="1"/>
  <c r="Y6" i="17" s="1"/>
  <c r="M6" i="17" a="1"/>
  <c r="M6" i="17" s="1"/>
  <c r="C6" i="2" s="1"/>
  <c r="Q12" i="6"/>
  <c r="Q13" i="6"/>
  <c r="S17" i="18"/>
  <c r="M24" i="5" l="1"/>
  <c r="S18" i="18"/>
  <c r="O6" i="18"/>
  <c r="C8" i="20"/>
  <c r="S31" i="5"/>
  <c r="U31" i="5" s="1"/>
  <c r="S14" i="5"/>
  <c r="U14" i="5" s="1"/>
  <c r="S15" i="5"/>
  <c r="U15" i="5" s="1"/>
  <c r="S30" i="5"/>
  <c r="U30" i="5" s="1"/>
  <c r="S21" i="5"/>
  <c r="U21" i="5" s="1"/>
  <c r="S20" i="5"/>
  <c r="U20" i="5" s="1"/>
  <c r="S17" i="5"/>
  <c r="I10" i="6"/>
  <c r="I15" i="6" s="1"/>
  <c r="U32" i="5"/>
  <c r="U33" i="5"/>
  <c r="I6" i="2"/>
  <c r="E5" i="11"/>
  <c r="S24" i="5" l="1"/>
  <c r="U24" i="5" s="1"/>
  <c r="M39" i="5"/>
  <c r="Q11" i="6"/>
  <c r="M15" i="6"/>
  <c r="S27" i="5"/>
  <c r="U27" i="5" s="1"/>
  <c r="S18" i="5"/>
  <c r="U18" i="5" s="1"/>
  <c r="S16" i="5"/>
  <c r="U16" i="5" s="1"/>
  <c r="S12" i="5"/>
  <c r="U12" i="5" s="1"/>
  <c r="S13" i="5"/>
  <c r="U13" i="5" s="1"/>
  <c r="U17" i="5"/>
  <c r="E10" i="11"/>
  <c r="S11" i="5" l="1"/>
  <c r="U11" i="5" s="1"/>
  <c r="E9" i="11" l="1"/>
  <c r="C11" i="7"/>
  <c r="U39" i="5"/>
  <c r="S39" i="5"/>
  <c r="Q10" i="6"/>
  <c r="Q15" i="6" s="1"/>
  <c r="A3" i="17"/>
  <c r="I9" i="11" l="1"/>
  <c r="E9" i="7"/>
  <c r="E8" i="7"/>
  <c r="E10" i="7"/>
  <c r="I10" i="7"/>
  <c r="I9" i="7"/>
  <c r="E11" i="7" l="1"/>
  <c r="I11" i="7"/>
  <c r="E7" i="11"/>
  <c r="I7" i="11" l="1"/>
  <c r="I11" i="11" s="1"/>
  <c r="E11" i="11"/>
  <c r="G7" i="11" s="1"/>
  <c r="D15" i="6"/>
  <c r="F15" i="6"/>
  <c r="H15" i="6"/>
  <c r="J15" i="6"/>
  <c r="L15" i="6"/>
  <c r="N15" i="6"/>
  <c r="P15" i="6"/>
  <c r="G9" i="11" l="1"/>
  <c r="G8" i="11"/>
  <c r="G10" i="11"/>
  <c r="A3" i="8"/>
  <c r="A3" i="7"/>
  <c r="A3" i="6"/>
  <c r="A3" i="5"/>
  <c r="G11" i="11" l="1"/>
  <c r="A3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<sst xmlns="http://schemas.openxmlformats.org/spreadsheetml/2006/main" count="390" uniqueCount="164">
  <si>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</si>
  <si>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</si>
  <si>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</si>
  <si>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</si>
  <si>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</si>
  <si>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</si>
  <si>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</si>
  <si>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</si>
  <si>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</si>
  <si>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</si>
  <si>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</si>
  <si>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</si>
  <si>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</si>
  <si>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</si>
  <si>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</si>
  <si>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</si>
  <si>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</si>
  <si>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</si>
  <si>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</si>
  <si>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</si>
  <si>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</si>
  <si>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</si>
  <si>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</si>
  <si>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</si>
  <si>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</si>
  <si>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</si>
  <si>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</si>
  <si>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</si>
  <si>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</si>
  <si>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</si>
  <si>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</si>
  <si>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</si>
  <si>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</si>
  <si>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</si>
  <si>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</si>
  <si>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</si>
  <si>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</si>
  <si>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</si>
  <si>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</si>
  <si>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</si>
  <si>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</si>
  <si>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</si>
  <si>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</si>
  <si>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</si>
  <si>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</si>
  <si>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</si>
  <si>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</si>
  <si>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</si>
  <si>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</si>
  <si>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</si>
  <si>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</si>
  <si>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</si>
  <si>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</si>
  <si>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</si>
  <si>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</si>
  <si>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</si>
  <si>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</si>
  <si>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</si>
  <si>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</si>
  <si>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</si>
  <si>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</si>
  <si>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</si>
  <si>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</si>
  <si>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</si>
  <si>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</si>
  <si>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</si>
  <si>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</si>
  <si>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</si>
  <si>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</si>
  <si>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</si>
  <si>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</si>
  <si>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</si>
  <si>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</si>
  <si>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</si>
  <si>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</si>
  <si>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</si>
  <si>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</si>
  <si>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</si>
  <si>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</si>
  <si>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</si>
  <si>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</si>
  <si>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</si>
  <si>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</si>
  <si>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</si>
  <si>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دارایی‌ها</t>
  </si>
  <si>
    <t>درآمدها</t>
  </si>
  <si>
    <t>-</t>
  </si>
  <si>
    <t>صندوق سرمایه گذاری با تضمین اصل سرمایه کیان</t>
  </si>
  <si>
    <t>فولاد کاوه جنوب کیش (کاوه)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</si>
  <si>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</si>
  <si>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</si>
  <si>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</si>
  <si>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</si>
  <si>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</si>
  <si>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</si>
  <si>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</si>
  <si>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پاسارگاد209.8100.15644767.1 -کوتاه مدت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</si>
  <si>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</si>
  <si>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</si>
  <si>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سیمان صوفیان (سصوفی)</t>
  </si>
  <si>
    <t>صبا فولاد خلیج فارس (فصبا)</t>
  </si>
  <si>
    <t>بین المللی توسعه صنایع و معادن غدیر (وکغدیر)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</si>
  <si>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</si>
  <si>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</si>
  <si>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</si>
  <si>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</si>
  <si>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</si>
  <si>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مولد نیروگاهی تجارت فارس (بمولد)</t>
  </si>
  <si>
    <t>اسناد خزانه-م1بودجه01-040326 (اخزا101)</t>
  </si>
  <si>
    <t>بلی</t>
  </si>
  <si>
    <t>1401/02/26</t>
  </si>
  <si>
    <t>1404/03/26</t>
  </si>
  <si>
    <t>آهن و فولاد غدیر ایرانیان (فغدیر)</t>
  </si>
  <si>
    <t>گروه مالی صبا تامین (صبا)</t>
  </si>
  <si>
    <t>اسناد خزانه-م3بودجه01-040520 (اخزا103)</t>
  </si>
  <si>
    <t>اسنادخزانه-م7بودجه01-040714 (اخزا107)</t>
  </si>
  <si>
    <t>اسنادخزانه-م1بودجه02-050325 (اخزا201)</t>
  </si>
  <si>
    <t>1401/05/18</t>
  </si>
  <si>
    <t>1401/12/10</t>
  </si>
  <si>
    <t>1402/06/19</t>
  </si>
  <si>
    <t>1404/05/20</t>
  </si>
  <si>
    <t>1404/07/14</t>
  </si>
  <si>
    <t>1405/03/25</t>
  </si>
  <si>
    <t>تعدیل کارمزد کارگزاری</t>
  </si>
  <si>
    <t>A7,اوراق!$A$9:$W$12,22,0)</t>
  </si>
  <si>
    <t>پالایش نفت تبریز (شبریز)</t>
  </si>
  <si>
    <t>آنتی بیوتیک سازی ایران (بیوتیک)</t>
  </si>
  <si>
    <t>سرمایه گذاری و توسعه صنایع سیمان (سیدکو)</t>
  </si>
  <si>
    <t>سر. تامین اجتماعی (شستا)</t>
  </si>
  <si>
    <t>نشاسته و گلوکز آردینه (آردینه)</t>
  </si>
  <si>
    <t>پارس فنر (فنر)</t>
  </si>
  <si>
    <t>اسنادخزانه-م4بودجه01-040917 (اخزا104)</t>
  </si>
  <si>
    <t>1401/12/08</t>
  </si>
  <si>
    <t>1404/09/17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</si>
  <si>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</si>
  <si>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</si>
  <si>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</si>
  <si>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‫تعداد</t>
  </si>
  <si>
    <t>‫قیمت
آخرین معامله</t>
  </si>
  <si>
    <t>‫قیمت تعدیل شده</t>
  </si>
  <si>
    <t>‫درصد تعدیل</t>
  </si>
  <si>
    <t>‫خالص ارزش فروش تعدیل شده</t>
  </si>
  <si>
    <t>‫دلیل تعدیل</t>
  </si>
  <si>
    <t>منتهی به 1403/03/31</t>
  </si>
  <si>
    <t>برای ماه منتهی به 1403/03/31</t>
  </si>
  <si>
    <t>1403/02/31</t>
  </si>
  <si>
    <t>1403/03/31</t>
  </si>
  <si>
    <t>طی خرداد ماه</t>
  </si>
  <si>
    <t>از ابتدای سال مالی تا پایان خرداد ماه</t>
  </si>
  <si>
    <t>کاشی سینا (کساوه)</t>
  </si>
  <si>
    <t>تولیدی و صنعتی گوهرفام (شفام)</t>
  </si>
  <si>
    <t>پاسارگاد 209.307.15644767.2</t>
  </si>
  <si>
    <t>1402/12/17</t>
  </si>
  <si>
    <t>1403/02/22</t>
  </si>
  <si>
    <t>1403/02/24</t>
  </si>
  <si>
    <t>1403/03/01</t>
  </si>
  <si>
    <t>1403/03/09</t>
  </si>
  <si>
    <t>1403/03/13</t>
  </si>
  <si>
    <t>1403/03/23</t>
  </si>
  <si>
    <t>1403/03/26</t>
  </si>
  <si>
    <t>مبین انرژی خلیج فارس (حق تقدم) (مبینح)</t>
  </si>
  <si>
    <t>د- سود اوراق بهادار با درآمد ثابت</t>
  </si>
  <si>
    <t>کوتاه مدت خاورمیانه 1005/10/810/707074934</t>
  </si>
  <si>
    <t>نرخ سود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</si>
</sst>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00_);_(* \(#,##0.000\);_(* &quot;-&quot;??_);_(@_)"/>
    <numFmt numFmtId="167" formatCode="_(* #,##0.000000_);_(* \(#,##0.000000\);_(* &quot;-&quot;??_);_(@_)"/>
    <numFmt numFmtId="168" formatCode="_-* #,##0.00_-;_-* #,##0.00\-;_-* &quot;-&quot;??_-;_-@_-"/>
    <numFmt numFmtId="169" formatCode="_-* #,##0.00000000_-;_-* #,##0.00000000\-;_-* &quot;-&quot;??_-;_-@_-"/>
    <numFmt numFmtId="170" formatCode="_-* #,##0_-;_-* #,##0\-;_-* &quot;-&quot;??_-;_-@_-"/>
    <numFmt numFmtId="171" formatCode="_-* #,##0.000000000000_-;_-* #,##0.000000000000\-;_-* &quot;-&quot;??_-;_-@_-"/>
    <numFmt numFmtId="172" formatCode="#,##0.0_);\(#,##0.0\)"/>
  </numFmts>
  <fonts count="5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1"/>
      <color theme="1"/>
      <name val="Tahoma"/>
      <family val="2"/>
    </font>
    <font>
      <b/>
      <sz val="11"/>
      <color rgb="FF2E2E2E"/>
      <name val="IranSansFaNum"/>
    </font>
    <font>
      <sz val="18"/>
      <color theme="1"/>
      <name val="B Mitra"/>
      <charset val="178"/>
    </font>
    <font>
      <b/>
      <sz val="9"/>
      <color rgb="FF00A651"/>
      <name val="IranSansFaNum"/>
    </font>
    <font>
      <sz val="16"/>
      <name val="B Mitra"/>
      <charset val="178"/>
    </font>
    <font>
      <b/>
      <sz val="9"/>
      <color rgb="FFD42020"/>
      <name val="IranSansFaNum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b/>
      <sz val="12"/>
      <color rgb="FF2E2E2E"/>
      <name val="IranSansFaNum"/>
    </font>
    <font>
      <sz val="14"/>
      <name val="B Mitra"/>
      <charset val="178"/>
    </font>
    <font>
      <b/>
      <sz val="13"/>
      <color rgb="FF000000"/>
      <name val="B Mitra"/>
      <charset val="178"/>
    </font>
    <font>
      <b/>
      <sz val="12"/>
      <color theme="1" tint="0.14999847407452621"/>
      <name val="B Mitra"/>
      <charset val="178"/>
    </font>
    <font>
      <b/>
      <sz val="14"/>
      <color theme="1" tint="0.1499984740745262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168" fontId="2" fillId="0" borderId="0" applyFont="0" applyFill="0" applyBorder="0" applyAlignment="0" applyProtection="0"/>
  </cellStyleXfs>
  <cellXfs count="349">
    <xf numFmtId="0" fontId="0" fillId="0" borderId="0" xfId="0"/>
    <xf numFmtId="0" fontId="12" fillId="0" borderId="0" xfId="0" applyFont="1"/>
    <xf numFmtId="165" fontId="8" fillId="0" borderId="0" xfId="1" applyNumberFormat="1" applyFont="1" applyFill="1"/>
    <xf numFmtId="0" fontId="29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67" fontId="4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 wrapText="1" readingOrder="2"/>
    </xf>
    <xf numFmtId="164" fontId="4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 wrapText="1"/>
    </xf>
    <xf numFmtId="164" fontId="18" fillId="0" borderId="1" xfId="1" applyNumberFormat="1" applyFont="1" applyFill="1" applyBorder="1"/>
    <xf numFmtId="164" fontId="18" fillId="0" borderId="0" xfId="1" applyNumberFormat="1" applyFont="1" applyFill="1" applyAlignment="1">
      <alignment vertical="center"/>
    </xf>
    <xf numFmtId="10" fontId="11" fillId="0" borderId="0" xfId="2" applyNumberFormat="1" applyFont="1" applyFill="1" applyAlignment="1">
      <alignment horizontal="center" vertical="center"/>
    </xf>
    <xf numFmtId="10" fontId="11" fillId="0" borderId="8" xfId="2" applyNumberFormat="1" applyFont="1" applyFill="1" applyBorder="1" applyAlignment="1">
      <alignment horizontal="center" vertical="center"/>
    </xf>
    <xf numFmtId="164" fontId="14" fillId="0" borderId="0" xfId="1" applyNumberFormat="1" applyFont="1" applyFill="1"/>
    <xf numFmtId="164" fontId="8" fillId="0" borderId="0" xfId="1" applyNumberFormat="1" applyFont="1" applyFill="1" applyAlignment="1">
      <alignment vertical="center"/>
    </xf>
    <xf numFmtId="164" fontId="12" fillId="0" borderId="0" xfId="1" applyNumberFormat="1" applyFont="1" applyFill="1"/>
    <xf numFmtId="164" fontId="12" fillId="0" borderId="0" xfId="1" applyNumberFormat="1" applyFont="1" applyFill="1" applyAlignment="1"/>
    <xf numFmtId="164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/>
    <xf numFmtId="164" fontId="13" fillId="0" borderId="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/>
    <xf numFmtId="164" fontId="1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vertical="center"/>
    </xf>
    <xf numFmtId="165" fontId="12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 readingOrder="2"/>
    </xf>
    <xf numFmtId="165" fontId="22" fillId="0" borderId="1" xfId="1" applyNumberFormat="1" applyFont="1" applyFill="1" applyBorder="1" applyAlignment="1">
      <alignment horizontal="center" vertical="center" wrapText="1" readingOrder="2"/>
    </xf>
    <xf numFmtId="165" fontId="21" fillId="0" borderId="4" xfId="1" applyNumberFormat="1" applyFont="1" applyFill="1" applyBorder="1" applyAlignment="1">
      <alignment horizontal="center" vertical="center" wrapText="1" readingOrder="2"/>
    </xf>
    <xf numFmtId="16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4" fontId="37" fillId="0" borderId="0" xfId="1" applyNumberFormat="1" applyFont="1" applyFill="1" applyAlignment="1">
      <alignment vertical="center"/>
    </xf>
    <xf numFmtId="164" fontId="25" fillId="0" borderId="13" xfId="1" applyNumberFormat="1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Alignment="1">
      <alignment vertical="center" wrapText="1"/>
    </xf>
    <xf numFmtId="164" fontId="18" fillId="0" borderId="3" xfId="1" applyNumberFormat="1" applyFont="1" applyFill="1" applyBorder="1" applyAlignment="1">
      <alignment vertical="center" wrapText="1"/>
    </xf>
    <xf numFmtId="164" fontId="8" fillId="0" borderId="0" xfId="1" applyNumberFormat="1" applyFont="1" applyFill="1"/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vertical="center" wrapText="1"/>
    </xf>
    <xf numFmtId="164" fontId="20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164" fontId="20" fillId="0" borderId="9" xfId="1" applyNumberFormat="1" applyFont="1" applyFill="1" applyBorder="1" applyAlignment="1">
      <alignment horizontal="left" vertical="center"/>
    </xf>
    <xf numFmtId="164" fontId="20" fillId="0" borderId="0" xfId="1" applyNumberFormat="1" applyFont="1" applyFill="1" applyBorder="1" applyAlignment="1">
      <alignment vertical="center"/>
    </xf>
    <xf numFmtId="9" fontId="4" fillId="0" borderId="0" xfId="1" applyNumberFormat="1" applyFont="1" applyFill="1" applyAlignment="1">
      <alignment vertical="center"/>
    </xf>
    <xf numFmtId="10" fontId="6" fillId="0" borderId="8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37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3" fontId="40" fillId="0" borderId="0" xfId="0" applyNumberFormat="1" applyFont="1"/>
    <xf numFmtId="0" fontId="18" fillId="0" borderId="0" xfId="0" applyFont="1"/>
    <xf numFmtId="0" fontId="18" fillId="0" borderId="1" xfId="0" applyFont="1" applyBorder="1"/>
    <xf numFmtId="37" fontId="11" fillId="0" borderId="0" xfId="0" applyNumberFormat="1" applyFont="1" applyAlignment="1">
      <alignment horizontal="right" vertical="center" wrapText="1"/>
    </xf>
    <xf numFmtId="37" fontId="11" fillId="0" borderId="0" xfId="0" applyNumberFormat="1" applyFont="1" applyAlignment="1">
      <alignment horizontal="center" vertical="center" wrapText="1"/>
    </xf>
    <xf numFmtId="164" fontId="18" fillId="0" borderId="0" xfId="0" applyNumberFormat="1" applyFont="1"/>
    <xf numFmtId="0" fontId="8" fillId="0" borderId="0" xfId="0" applyFont="1"/>
    <xf numFmtId="0" fontId="18" fillId="0" borderId="0" xfId="0" applyFont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/>
    </xf>
    <xf numFmtId="164" fontId="16" fillId="0" borderId="0" xfId="1" applyNumberFormat="1" applyFont="1" applyFill="1" applyAlignment="1">
      <alignment horizontal="right" vertical="center" readingOrder="2"/>
    </xf>
    <xf numFmtId="164" fontId="12" fillId="0" borderId="0" xfId="0" applyNumberFormat="1" applyFont="1"/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8" fillId="0" borderId="0" xfId="0" applyNumberFormat="1" applyFont="1"/>
    <xf numFmtId="164" fontId="18" fillId="0" borderId="8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3" fontId="12" fillId="0" borderId="0" xfId="0" applyNumberFormat="1" applyFont="1"/>
    <xf numFmtId="37" fontId="11" fillId="0" borderId="0" xfId="0" quotePrefix="1" applyNumberFormat="1" applyFont="1" applyAlignment="1">
      <alignment horizontal="right" vertical="center" wrapText="1"/>
    </xf>
    <xf numFmtId="3" fontId="4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1" fillId="0" borderId="0" xfId="0" applyFont="1" applyAlignment="1">
      <alignment vertical="center" wrapText="1" readingOrder="2"/>
    </xf>
    <xf numFmtId="165" fontId="21" fillId="0" borderId="4" xfId="0" applyNumberFormat="1" applyFont="1" applyBorder="1" applyAlignment="1">
      <alignment horizontal="center" vertical="center" wrapText="1" readingOrder="2"/>
    </xf>
    <xf numFmtId="0" fontId="21" fillId="0" borderId="4" xfId="0" applyFont="1" applyBorder="1" applyAlignment="1">
      <alignment horizontal="center" vertical="center" wrapText="1" readingOrder="2"/>
    </xf>
    <xf numFmtId="37" fontId="6" fillId="0" borderId="0" xfId="0" quotePrefix="1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0" xfId="1" applyNumberFormat="1" applyFont="1" applyFill="1" applyAlignment="1">
      <alignment vertical="center"/>
    </xf>
    <xf numFmtId="37" fontId="34" fillId="0" borderId="0" xfId="0" applyNumberFormat="1" applyFont="1" applyAlignment="1">
      <alignment horizontal="center" vertical="center"/>
    </xf>
    <xf numFmtId="10" fontId="21" fillId="0" borderId="8" xfId="2" applyNumberFormat="1" applyFont="1" applyFill="1" applyBorder="1" applyAlignment="1">
      <alignment horizontal="center" vertical="center" wrapText="1" readingOrder="2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25" fillId="0" borderId="13" xfId="0" applyFont="1" applyBorder="1" applyAlignment="1">
      <alignment horizontal="center" vertical="center" wrapText="1" readingOrder="2"/>
    </xf>
    <xf numFmtId="37" fontId="28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vertical="center" wrapText="1"/>
    </xf>
    <xf numFmtId="10" fontId="35" fillId="0" borderId="2" xfId="2" applyNumberFormat="1" applyFont="1" applyFill="1" applyBorder="1" applyAlignment="1">
      <alignment horizontal="center" vertical="center" wrapText="1" readingOrder="2"/>
    </xf>
    <xf numFmtId="3" fontId="8" fillId="0" borderId="0" xfId="0" applyNumberFormat="1" applyFont="1"/>
    <xf numFmtId="0" fontId="16" fillId="0" borderId="0" xfId="0" applyFont="1"/>
    <xf numFmtId="0" fontId="25" fillId="0" borderId="1" xfId="0" applyFont="1" applyBorder="1" applyAlignment="1">
      <alignment horizontal="right" vertical="center" wrapText="1" readingOrder="2"/>
    </xf>
    <xf numFmtId="0" fontId="25" fillId="0" borderId="0" xfId="0" applyFont="1" applyAlignment="1">
      <alignment vertical="center" wrapText="1" readingOrder="2"/>
    </xf>
    <xf numFmtId="0" fontId="26" fillId="0" borderId="0" xfId="0" applyFont="1" applyAlignment="1">
      <alignment horizontal="center" vertical="center" wrapText="1" readingOrder="2"/>
    </xf>
    <xf numFmtId="3" fontId="42" fillId="0" borderId="0" xfId="0" applyNumberFormat="1" applyFont="1" applyAlignment="1">
      <alignment vertical="center" wrapText="1"/>
    </xf>
    <xf numFmtId="0" fontId="18" fillId="0" borderId="9" xfId="0" applyFont="1" applyBorder="1" applyAlignment="1">
      <alignment vertical="center" wrapText="1"/>
    </xf>
    <xf numFmtId="3" fontId="18" fillId="0" borderId="0" xfId="0" applyNumberFormat="1" applyFont="1"/>
    <xf numFmtId="0" fontId="43" fillId="0" borderId="0" xfId="0" applyFont="1"/>
    <xf numFmtId="165" fontId="8" fillId="0" borderId="0" xfId="1" applyNumberFormat="1" applyFont="1" applyFill="1" applyAlignment="1"/>
    <xf numFmtId="164" fontId="27" fillId="0" borderId="0" xfId="1" applyNumberFormat="1" applyFont="1" applyFill="1" applyBorder="1" applyAlignment="1">
      <alignment vertical="center" wrapText="1" readingOrder="2"/>
    </xf>
    <xf numFmtId="37" fontId="45" fillId="0" borderId="0" xfId="0" applyNumberFormat="1" applyFont="1" applyAlignment="1">
      <alignment horizontal="center" vertical="center" wrapText="1"/>
    </xf>
    <xf numFmtId="164" fontId="43" fillId="0" borderId="0" xfId="0" applyNumberFormat="1" applyFont="1"/>
    <xf numFmtId="164" fontId="8" fillId="0" borderId="8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5" fontId="12" fillId="0" borderId="0" xfId="0" applyNumberFormat="1" applyFont="1"/>
    <xf numFmtId="3" fontId="44" fillId="0" borderId="0" xfId="0" applyNumberFormat="1" applyFont="1"/>
    <xf numFmtId="3" fontId="46" fillId="0" borderId="0" xfId="0" applyNumberFormat="1" applyFont="1"/>
    <xf numFmtId="164" fontId="13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horizontal="right" vertical="center" wrapText="1" readingOrder="2"/>
    </xf>
    <xf numFmtId="164" fontId="31" fillId="0" borderId="0" xfId="1" applyNumberFormat="1" applyFont="1" applyFill="1" applyAlignment="1">
      <alignment horizontal="center"/>
    </xf>
    <xf numFmtId="164" fontId="17" fillId="0" borderId="0" xfId="1" applyNumberFormat="1" applyFont="1" applyFill="1" applyAlignment="1">
      <alignment horizontal="right" vertical="center" readingOrder="2"/>
    </xf>
    <xf numFmtId="164" fontId="17" fillId="0" borderId="0" xfId="1" applyNumberFormat="1" applyFont="1" applyFill="1" applyAlignment="1">
      <alignment vertical="center" readingOrder="2"/>
    </xf>
    <xf numFmtId="164" fontId="19" fillId="0" borderId="12" xfId="1" applyNumberFormat="1" applyFont="1" applyFill="1" applyBorder="1" applyAlignment="1">
      <alignment horizontal="right" vertical="center" readingOrder="2"/>
    </xf>
    <xf numFmtId="164" fontId="33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center"/>
    </xf>
    <xf numFmtId="164" fontId="31" fillId="0" borderId="0" xfId="1" applyNumberFormat="1" applyFont="1" applyFill="1" applyAlignment="1">
      <alignment vertical="center" wrapText="1"/>
    </xf>
    <xf numFmtId="164" fontId="18" fillId="0" borderId="0" xfId="1" applyNumberFormat="1" applyFont="1" applyFill="1" applyAlignment="1">
      <alignment horizontal="center" vertical="center" readingOrder="2"/>
    </xf>
    <xf numFmtId="164" fontId="39" fillId="0" borderId="0" xfId="1" applyNumberFormat="1" applyFont="1" applyFill="1"/>
    <xf numFmtId="164" fontId="18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32" fillId="0" borderId="0" xfId="1" applyNumberFormat="1" applyFont="1" applyFill="1"/>
    <xf numFmtId="37" fontId="16" fillId="0" borderId="0" xfId="1" applyNumberFormat="1" applyFont="1" applyFill="1" applyAlignment="1">
      <alignment horizontal="center" vertical="center" readingOrder="2"/>
    </xf>
    <xf numFmtId="37" fontId="17" fillId="0" borderId="0" xfId="1" applyNumberFormat="1" applyFont="1" applyFill="1" applyAlignment="1">
      <alignment horizontal="center" vertical="center" readingOrder="2"/>
    </xf>
    <xf numFmtId="37" fontId="18" fillId="0" borderId="0" xfId="1" applyNumberFormat="1" applyFont="1" applyFill="1" applyAlignment="1">
      <alignment horizontal="center"/>
    </xf>
    <xf numFmtId="3" fontId="0" fillId="0" borderId="0" xfId="0" applyNumberFormat="1"/>
    <xf numFmtId="169" fontId="48" fillId="0" borderId="0" xfId="5" applyNumberFormat="1" applyFont="1" applyFill="1" applyAlignment="1">
      <alignment horizontal="left" vertical="center" wrapText="1" shrinkToFit="1"/>
    </xf>
    <xf numFmtId="0" fontId="48" fillId="0" borderId="0" xfId="0" applyFont="1" applyAlignment="1">
      <alignment vertical="center"/>
    </xf>
    <xf numFmtId="0" fontId="49" fillId="0" borderId="0" xfId="0" applyFont="1"/>
    <xf numFmtId="0" fontId="51" fillId="0" borderId="0" xfId="0" applyFont="1"/>
    <xf numFmtId="37" fontId="50" fillId="0" borderId="10" xfId="0" applyNumberFormat="1" applyFont="1" applyBorder="1" applyAlignment="1">
      <alignment horizontal="center" vertical="center"/>
    </xf>
    <xf numFmtId="37" fontId="50" fillId="0" borderId="10" xfId="0" applyNumberFormat="1" applyFont="1" applyBorder="1" applyAlignment="1">
      <alignment horizontal="center" vertical="center" wrapText="1"/>
    </xf>
    <xf numFmtId="170" fontId="48" fillId="0" borderId="0" xfId="0" applyNumberFormat="1" applyFont="1" applyAlignment="1">
      <alignment vertical="center"/>
    </xf>
    <xf numFmtId="0" fontId="53" fillId="0" borderId="0" xfId="0" applyFont="1"/>
    <xf numFmtId="164" fontId="52" fillId="0" borderId="0" xfId="0" applyNumberFormat="1" applyFont="1" applyAlignment="1">
      <alignment horizontal="center" vertical="center" wrapText="1" shrinkToFit="1"/>
    </xf>
    <xf numFmtId="0" fontId="53" fillId="0" borderId="0" xfId="0" applyFont="1" applyAlignment="1">
      <alignment horizontal="center"/>
    </xf>
    <xf numFmtId="164" fontId="52" fillId="0" borderId="0" xfId="0" applyNumberFormat="1" applyFont="1" applyAlignment="1">
      <alignment horizontal="left" vertical="center" wrapText="1" shrinkToFit="1"/>
    </xf>
    <xf numFmtId="0" fontId="48" fillId="0" borderId="0" xfId="0" applyFont="1"/>
    <xf numFmtId="171" fontId="48" fillId="0" borderId="0" xfId="5" applyNumberFormat="1" applyFont="1" applyFill="1" applyAlignment="1">
      <alignment horizontal="left" vertical="center" wrapText="1" shrinkToFit="1"/>
    </xf>
    <xf numFmtId="0" fontId="53" fillId="0" borderId="0" xfId="0" applyFont="1" applyAlignment="1">
      <alignment vertical="center"/>
    </xf>
    <xf numFmtId="37" fontId="52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52" fillId="0" borderId="8" xfId="0" applyNumberFormat="1" applyFont="1" applyBorder="1" applyAlignment="1">
      <alignment horizontal="left" vertical="center" wrapText="1" shrinkToFit="1"/>
    </xf>
    <xf numFmtId="37" fontId="52" fillId="0" borderId="9" xfId="0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 wrapText="1" readingOrder="2"/>
    </xf>
    <xf numFmtId="164" fontId="4" fillId="0" borderId="0" xfId="1" applyNumberFormat="1" applyFont="1" applyFill="1" applyAlignment="1">
      <alignment horizontal="center"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>
      <alignment vertical="center" readingOrder="2"/>
    </xf>
    <xf numFmtId="164" fontId="18" fillId="0" borderId="2" xfId="1" applyNumberFormat="1" applyFont="1" applyFill="1" applyBorder="1" applyAlignment="1">
      <alignment horizontal="center" vertical="center" readingOrder="2"/>
    </xf>
    <xf numFmtId="10" fontId="52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164" fontId="13" fillId="0" borderId="0" xfId="1" applyNumberFormat="1" applyFont="1" applyFill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164" fontId="18" fillId="3" borderId="0" xfId="1" applyNumberFormat="1" applyFont="1" applyFill="1" applyAlignment="1">
      <alignment vertical="center"/>
    </xf>
    <xf numFmtId="10" fontId="4" fillId="0" borderId="0" xfId="1" applyNumberFormat="1" applyFont="1" applyFill="1" applyAlignment="1">
      <alignment vertical="center"/>
    </xf>
    <xf numFmtId="3" fontId="24" fillId="0" borderId="10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 wrapText="1"/>
    </xf>
    <xf numFmtId="3" fontId="18" fillId="0" borderId="0" xfId="1" applyNumberFormat="1" applyFont="1" applyFill="1" applyAlignment="1">
      <alignment vertical="center"/>
    </xf>
    <xf numFmtId="3" fontId="11" fillId="0" borderId="9" xfId="0" applyNumberFormat="1" applyFont="1" applyBorder="1" applyAlignment="1">
      <alignment horizontal="center" vertical="center"/>
    </xf>
    <xf numFmtId="172" fontId="13" fillId="2" borderId="0" xfId="1" applyNumberFormat="1" applyFont="1" applyFill="1" applyAlignment="1">
      <alignment vertical="center"/>
    </xf>
    <xf numFmtId="172" fontId="13" fillId="3" borderId="0" xfId="1" applyNumberFormat="1" applyFont="1" applyFill="1" applyAlignment="1">
      <alignment vertical="center"/>
    </xf>
    <xf numFmtId="37" fontId="13" fillId="0" borderId="0" xfId="0" applyNumberFormat="1" applyFont="1" applyAlignment="1">
      <alignment horizontal="center" vertical="center" wrapText="1"/>
    </xf>
    <xf numFmtId="37" fontId="55" fillId="0" borderId="0" xfId="0" quotePrefix="1" applyNumberFormat="1" applyFont="1" applyAlignment="1">
      <alignment horizontal="right" vertical="center" wrapText="1"/>
    </xf>
    <xf numFmtId="164" fontId="53" fillId="0" borderId="0" xfId="1" applyNumberFormat="1" applyFont="1" applyFill="1"/>
    <xf numFmtId="37" fontId="12" fillId="0" borderId="0" xfId="0" applyNumberFormat="1" applyFont="1"/>
    <xf numFmtId="37" fontId="8" fillId="0" borderId="0" xfId="0" applyNumberFormat="1" applyFont="1" applyAlignment="1">
      <alignment horizontal="center" vertical="center"/>
    </xf>
    <xf numFmtId="3" fontId="13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0" fontId="13" fillId="0" borderId="0" xfId="0" applyFont="1" applyFill="1" applyAlignment="1">
      <alignment horizontal="center" vertical="center" wrapText="1"/>
    </xf>
    <xf numFmtId="37" fontId="45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172" fontId="13" fillId="0" borderId="0" xfId="1" applyNumberFormat="1" applyFont="1" applyFill="1" applyAlignment="1">
      <alignment vertical="center"/>
    </xf>
    <xf numFmtId="164" fontId="20" fillId="0" borderId="0" xfId="1" applyNumberFormat="1" applyFont="1" applyFill="1" applyAlignment="1">
      <alignment vertical="center"/>
    </xf>
    <xf numFmtId="10" fontId="57" fillId="0" borderId="0" xfId="2" applyNumberFormat="1" applyFont="1" applyFill="1" applyAlignment="1">
      <alignment horizontal="center" vertical="center" wrapText="1" readingOrder="2"/>
    </xf>
    <xf numFmtId="9" fontId="57" fillId="0" borderId="2" xfId="2" applyFont="1" applyFill="1" applyBorder="1" applyAlignment="1">
      <alignment horizontal="center" vertical="center" readingOrder="2"/>
    </xf>
    <xf numFmtId="10" fontId="57" fillId="0" borderId="2" xfId="2" applyNumberFormat="1" applyFont="1" applyFill="1" applyBorder="1" applyAlignment="1">
      <alignment horizontal="center" vertical="center" readingOrder="2"/>
    </xf>
    <xf numFmtId="3" fontId="58" fillId="0" borderId="2" xfId="2" applyNumberFormat="1" applyFont="1" applyFill="1" applyBorder="1" applyAlignment="1">
      <alignment horizontal="right" vertical="center" readingOrder="2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horizontal="center" vertical="center" readingOrder="2"/>
    </xf>
    <xf numFmtId="37" fontId="6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3" fontId="40" fillId="0" borderId="0" xfId="0" applyNumberFormat="1" applyFont="1" applyFill="1"/>
    <xf numFmtId="166" fontId="4" fillId="0" borderId="0" xfId="0" applyNumberFormat="1" applyFont="1" applyFill="1" applyAlignment="1">
      <alignment vertical="center"/>
    </xf>
    <xf numFmtId="3" fontId="54" fillId="0" borderId="0" xfId="0" applyNumberFormat="1" applyFont="1" applyFill="1"/>
    <xf numFmtId="0" fontId="8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7" fontId="30" fillId="0" borderId="0" xfId="0" quotePrefix="1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 readingOrder="2"/>
    </xf>
    <xf numFmtId="164" fontId="4" fillId="0" borderId="2" xfId="0" applyNumberFormat="1" applyFont="1" applyFill="1" applyBorder="1" applyAlignment="1">
      <alignment horizontal="center" vertical="center" readingOrder="2"/>
    </xf>
    <xf numFmtId="164" fontId="10" fillId="0" borderId="0" xfId="0" applyNumberFormat="1" applyFont="1" applyFill="1" applyAlignment="1">
      <alignment horizontal="center"/>
    </xf>
    <xf numFmtId="10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40" fillId="0" borderId="0" xfId="0" applyNumberFormat="1" applyFont="1" applyFill="1" applyAlignment="1">
      <alignment vertical="center" wrapText="1"/>
    </xf>
    <xf numFmtId="0" fontId="14" fillId="0" borderId="0" xfId="0" applyFont="1" applyFill="1"/>
    <xf numFmtId="0" fontId="18" fillId="0" borderId="0" xfId="0" applyFont="1" applyFill="1"/>
    <xf numFmtId="0" fontId="18" fillId="0" borderId="1" xfId="0" applyFont="1" applyFill="1" applyBorder="1"/>
    <xf numFmtId="0" fontId="16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 readingOrder="2"/>
    </xf>
    <xf numFmtId="0" fontId="18" fillId="0" borderId="0" xfId="0" applyFont="1" applyFill="1" applyAlignment="1">
      <alignment horizontal="center"/>
    </xf>
    <xf numFmtId="37" fontId="11" fillId="0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Fill="1"/>
    <xf numFmtId="37" fontId="11" fillId="0" borderId="0" xfId="0" applyNumberFormat="1" applyFont="1" applyFill="1" applyAlignment="1">
      <alignment vertical="center" wrapText="1"/>
    </xf>
    <xf numFmtId="0" fontId="29" fillId="0" borderId="0" xfId="0" applyFont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 wrapText="1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 wrapText="1" readingOrder="2"/>
    </xf>
    <xf numFmtId="10" fontId="4" fillId="0" borderId="3" xfId="2" applyNumberFormat="1" applyFont="1" applyFill="1" applyBorder="1" applyAlignment="1">
      <alignment horizontal="center" vertical="center" wrapText="1" readingOrder="2"/>
    </xf>
    <xf numFmtId="10" fontId="4" fillId="0" borderId="1" xfId="2" applyNumberFormat="1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readingOrder="2"/>
    </xf>
    <xf numFmtId="164" fontId="4" fillId="0" borderId="1" xfId="1" applyNumberFormat="1" applyFont="1" applyFill="1" applyBorder="1" applyAlignment="1">
      <alignment horizontal="center" vertical="center" readingOrder="2"/>
    </xf>
    <xf numFmtId="0" fontId="5" fillId="0" borderId="0" xfId="0" applyFont="1" applyFill="1" applyAlignment="1">
      <alignment horizontal="right" vertical="center" readingOrder="2"/>
    </xf>
    <xf numFmtId="164" fontId="3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readingOrder="2"/>
    </xf>
    <xf numFmtId="0" fontId="7" fillId="0" borderId="1" xfId="0" applyFont="1" applyFill="1" applyBorder="1" applyAlignment="1">
      <alignment horizontal="center"/>
    </xf>
    <xf numFmtId="37" fontId="50" fillId="0" borderId="14" xfId="0" applyNumberFormat="1" applyFont="1" applyBorder="1" applyAlignment="1">
      <alignment horizontal="center" vertical="center"/>
    </xf>
    <xf numFmtId="0" fontId="51" fillId="0" borderId="11" xfId="0" applyFont="1" applyBorder="1"/>
    <xf numFmtId="0" fontId="47" fillId="0" borderId="0" xfId="0" applyFont="1" applyAlignment="1">
      <alignment horizontal="center"/>
    </xf>
    <xf numFmtId="37" fontId="50" fillId="0" borderId="0" xfId="0" applyNumberFormat="1" applyFont="1" applyAlignment="1">
      <alignment horizontal="right" vertical="center"/>
    </xf>
    <xf numFmtId="0" fontId="51" fillId="0" borderId="0" xfId="0" applyFont="1"/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8" fillId="0" borderId="3" xfId="0" applyFont="1" applyFill="1" applyBorder="1" applyAlignment="1">
      <alignment horizontal="center" vertical="center" readingOrder="2"/>
    </xf>
    <xf numFmtId="0" fontId="18" fillId="0" borderId="1" xfId="0" applyFont="1" applyFill="1" applyBorder="1" applyAlignment="1">
      <alignment horizontal="center" vertical="center" readingOrder="2"/>
    </xf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horizontal="center" vertical="center" readingOrder="2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Alignment="1">
      <alignment horizontal="center" vertical="center" wrapText="1"/>
    </xf>
    <xf numFmtId="164" fontId="21" fillId="0" borderId="3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wrapText="1" readingOrder="2"/>
    </xf>
    <xf numFmtId="165" fontId="21" fillId="0" borderId="3" xfId="1" applyNumberFormat="1" applyFont="1" applyFill="1" applyBorder="1" applyAlignment="1">
      <alignment horizontal="center" vertical="center" wrapText="1" readingOrder="2"/>
    </xf>
    <xf numFmtId="165" fontId="21" fillId="0" borderId="0" xfId="1" applyNumberFormat="1" applyFont="1" applyFill="1" applyBorder="1" applyAlignment="1">
      <alignment horizontal="center" vertical="center" wrapText="1" readingOrder="2"/>
    </xf>
    <xf numFmtId="0" fontId="21" fillId="0" borderId="3" xfId="0" applyFont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readingOrder="2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5" fillId="0" borderId="3" xfId="0" applyFont="1" applyBorder="1" applyAlignment="1">
      <alignment horizontal="center" vertical="center" wrapText="1" readingOrder="2"/>
    </xf>
    <xf numFmtId="0" fontId="25" fillId="0" borderId="0" xfId="0" applyFont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 wrapText="1" readingOrder="2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 readingOrder="2"/>
    </xf>
    <xf numFmtId="164" fontId="16" fillId="0" borderId="4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3" fontId="24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/>
    <xf numFmtId="3" fontId="20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right" vertical="center" readingOrder="2"/>
    </xf>
    <xf numFmtId="3" fontId="23" fillId="0" borderId="0" xfId="1" applyNumberFormat="1" applyFont="1" applyFill="1" applyAlignment="1">
      <alignment horizontal="right" vertical="center" readingOrder="2"/>
    </xf>
    <xf numFmtId="164" fontId="21" fillId="0" borderId="1" xfId="1" applyNumberFormat="1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56" fillId="0" borderId="1" xfId="1" applyNumberFormat="1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readingOrder="2"/>
    </xf>
    <xf numFmtId="165" fontId="23" fillId="0" borderId="0" xfId="1" applyNumberFormat="1" applyFont="1" applyFill="1" applyAlignment="1">
      <alignment horizontal="right" vertical="center" readingOrder="2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</cellXfs>
  <cellStyles count="6">
    <cellStyle name="Comma" xfId="1" builtinId="3"/>
    <cellStyle name="Comma 2" xfId="5" xr:uid="{F2B00D3C-5790-4550-A487-9FBEA97624C3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10</xdr:col>
      <xdr:colOff>9525</xdr:colOff>
      <xdr:row>36</xdr:row>
      <xdr:rowOff>214593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D49F73-8234-45AA-B096-F38546A23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580875" y="1"/>
          <a:ext cx="6105524" cy="7901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tabSelected="1" view="pageBreakPreview" topLeftCell="A9" zoomScaleNormal="100" zoomScaleSheetLayoutView="100" workbookViewId="0">
      <selection activeCell="M34" sqref="M34"/>
    </sheetView>
  </sheetViews>
  <sheetFormatPr defaultColWidth="9.140625" defaultRowHeight="17.25"/>
  <cols>
    <col min="1" max="16384" width="9.140625" style="1"/>
  </cols>
  <sheetData>
    <row r="18" spans="1:13">
      <c r="M18" s="1" t="s">
        <v>54</v>
      </c>
    </row>
    <row r="24" spans="1:13" ht="15" customHeight="1">
      <c r="A24" s="252" t="s">
        <v>70</v>
      </c>
      <c r="B24" s="252"/>
      <c r="C24" s="252"/>
      <c r="D24" s="252"/>
      <c r="E24" s="252"/>
      <c r="F24" s="252"/>
      <c r="G24" s="252"/>
      <c r="H24" s="252"/>
      <c r="I24" s="252"/>
      <c r="J24" s="252"/>
      <c r="K24" s="3"/>
      <c r="L24" s="3"/>
    </row>
    <row r="25" spans="1:13" ht="15" customHeight="1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3"/>
      <c r="L25" s="3"/>
    </row>
    <row r="26" spans="1:13" ht="15" customHeight="1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3"/>
      <c r="L26" s="3"/>
    </row>
    <row r="27" spans="1:13">
      <c r="C27" s="1" t="s">
        <v>54</v>
      </c>
    </row>
    <row r="28" spans="1:13" ht="15" customHeight="1">
      <c r="A28" s="252" t="s">
        <v>143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</row>
    <row r="29" spans="1:13" ht="15" customHeight="1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</row>
    <row r="30" spans="1:13" ht="15" customHeight="1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</row>
    <row r="31" spans="1:13" ht="15" customHeight="1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42"/>
  <sheetViews>
    <sheetView rightToLeft="1" view="pageBreakPreview" zoomScale="55" zoomScaleNormal="100" zoomScaleSheetLayoutView="55" workbookViewId="0">
      <selection activeCell="A30" sqref="A30"/>
    </sheetView>
  </sheetViews>
  <sheetFormatPr defaultColWidth="9.140625" defaultRowHeight="30.75"/>
  <cols>
    <col min="1" max="1" width="55.42578125" style="210" bestFit="1" customWidth="1"/>
    <col min="2" max="2" width="1.85546875" style="210" customWidth="1"/>
    <col min="3" max="3" width="22.5703125" style="4" customWidth="1"/>
    <col min="4" max="4" width="1.140625" style="4" customWidth="1"/>
    <col min="5" max="5" width="32" style="4" customWidth="1"/>
    <col min="6" max="6" width="1.42578125" style="4" customWidth="1"/>
    <col min="7" max="7" width="32.140625" style="4" customWidth="1"/>
    <col min="8" max="8" width="1.5703125" style="4" customWidth="1"/>
    <col min="9" max="9" width="20.5703125" style="4" bestFit="1" customWidth="1"/>
    <col min="10" max="10" width="29.140625" style="4" bestFit="1" customWidth="1"/>
    <col min="11" max="11" width="1.42578125" style="4" customWidth="1"/>
    <col min="12" max="12" width="20.7109375" style="4" customWidth="1"/>
    <col min="13" max="13" width="29.140625" style="4" customWidth="1"/>
    <col min="14" max="14" width="1.140625" style="4" customWidth="1"/>
    <col min="15" max="15" width="22.5703125" style="4" bestFit="1" customWidth="1"/>
    <col min="16" max="16" width="1.42578125" style="4" customWidth="1"/>
    <col min="17" max="17" width="18.7109375" style="4" customWidth="1"/>
    <col min="18" max="18" width="1.5703125" style="4" customWidth="1"/>
    <col min="19" max="19" width="32" style="4" bestFit="1" customWidth="1"/>
    <col min="20" max="20" width="1.85546875" style="4" customWidth="1"/>
    <col min="21" max="21" width="37.42578125" style="4" bestFit="1" customWidth="1"/>
    <col min="22" max="22" width="1.5703125" style="210" customWidth="1"/>
    <col min="23" max="23" width="21.85546875" style="9" customWidth="1"/>
    <col min="24" max="24" width="21.140625" style="4" bestFit="1" customWidth="1"/>
    <col min="25" max="25" width="14.140625" style="4" bestFit="1" customWidth="1"/>
    <col min="26" max="26" width="16.42578125" style="210" customWidth="1"/>
    <col min="27" max="28" width="14.85546875" style="5" bestFit="1" customWidth="1"/>
    <col min="29" max="29" width="17.140625" style="210" bestFit="1" customWidth="1"/>
    <col min="30" max="16384" width="9.140625" style="210"/>
  </cols>
  <sheetData>
    <row r="1" spans="1:33" ht="31.5">
      <c r="A1" s="260" t="s">
        <v>87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</row>
    <row r="2" spans="1:33" ht="31.5">
      <c r="A2" s="260" t="s">
        <v>46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</row>
    <row r="3" spans="1:33" ht="31.5">
      <c r="A3" s="260" t="s">
        <v>144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</row>
    <row r="4" spans="1:33" ht="31.5">
      <c r="A4" s="266" t="s">
        <v>22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</row>
    <row r="5" spans="1:33" ht="31.5">
      <c r="A5" s="266" t="s">
        <v>23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</row>
    <row r="7" spans="1:33" ht="36.75" customHeight="1" thickBot="1">
      <c r="A7" s="211"/>
      <c r="B7" s="212"/>
      <c r="C7" s="253" t="s">
        <v>145</v>
      </c>
      <c r="D7" s="253"/>
      <c r="E7" s="253"/>
      <c r="F7" s="253"/>
      <c r="G7" s="253"/>
      <c r="H7" s="6"/>
      <c r="I7" s="267" t="s">
        <v>7</v>
      </c>
      <c r="J7" s="267"/>
      <c r="K7" s="267"/>
      <c r="L7" s="267"/>
      <c r="M7" s="267"/>
      <c r="O7" s="254" t="s">
        <v>146</v>
      </c>
      <c r="P7" s="254"/>
      <c r="Q7" s="254"/>
      <c r="R7" s="254"/>
      <c r="S7" s="254"/>
      <c r="T7" s="254"/>
      <c r="U7" s="254"/>
      <c r="V7" s="254"/>
      <c r="W7" s="254"/>
    </row>
    <row r="8" spans="1:33" ht="29.25" customHeight="1">
      <c r="A8" s="261" t="s">
        <v>1</v>
      </c>
      <c r="B8" s="213"/>
      <c r="C8" s="264" t="s">
        <v>3</v>
      </c>
      <c r="D8" s="255"/>
      <c r="E8" s="264" t="s">
        <v>0</v>
      </c>
      <c r="F8" s="255"/>
      <c r="G8" s="255" t="s">
        <v>18</v>
      </c>
      <c r="H8" s="51"/>
      <c r="I8" s="263" t="s">
        <v>4</v>
      </c>
      <c r="J8" s="263"/>
      <c r="K8" s="7"/>
      <c r="L8" s="263" t="s">
        <v>5</v>
      </c>
      <c r="M8" s="263"/>
      <c r="O8" s="264" t="s">
        <v>3</v>
      </c>
      <c r="P8" s="256"/>
      <c r="Q8" s="255" t="s">
        <v>30</v>
      </c>
      <c r="R8" s="199"/>
      <c r="S8" s="264" t="s">
        <v>0</v>
      </c>
      <c r="T8" s="256"/>
      <c r="U8" s="255" t="s">
        <v>18</v>
      </c>
      <c r="V8" s="214"/>
      <c r="W8" s="258" t="s">
        <v>19</v>
      </c>
    </row>
    <row r="9" spans="1:33" ht="49.5" customHeight="1" thickBot="1">
      <c r="A9" s="262"/>
      <c r="B9" s="213"/>
      <c r="C9" s="265"/>
      <c r="D9" s="256"/>
      <c r="E9" s="265"/>
      <c r="F9" s="256"/>
      <c r="G9" s="257"/>
      <c r="H9" s="51"/>
      <c r="I9" s="163" t="s">
        <v>3</v>
      </c>
      <c r="J9" s="163" t="s">
        <v>0</v>
      </c>
      <c r="K9" s="7"/>
      <c r="L9" s="163" t="s">
        <v>3</v>
      </c>
      <c r="M9" s="163" t="s">
        <v>45</v>
      </c>
      <c r="O9" s="265"/>
      <c r="P9" s="256"/>
      <c r="Q9" s="257"/>
      <c r="R9" s="199"/>
      <c r="S9" s="265"/>
      <c r="T9" s="256"/>
      <c r="U9" s="257"/>
      <c r="V9" s="214"/>
      <c r="W9" s="259"/>
    </row>
    <row r="10" spans="1:33" ht="28.5" customHeight="1">
      <c r="A10" s="4" t="s">
        <v>99</v>
      </c>
      <c r="C10" s="167">
        <v>43844</v>
      </c>
      <c r="E10" s="4">
        <v>1424167408</v>
      </c>
      <c r="G10" s="167">
        <v>1307493849</v>
      </c>
      <c r="I10" s="4">
        <v>0</v>
      </c>
      <c r="J10" s="4">
        <v>0</v>
      </c>
      <c r="K10" s="215"/>
      <c r="L10" s="4">
        <v>10400</v>
      </c>
      <c r="M10" s="4">
        <v>301046057</v>
      </c>
      <c r="O10" s="4">
        <v>33444</v>
      </c>
      <c r="Q10" s="216">
        <v>30300</v>
      </c>
      <c r="S10" s="4">
        <v>1086348298</v>
      </c>
      <c r="U10" s="167">
        <v>1007323751</v>
      </c>
      <c r="V10" s="215"/>
      <c r="W10" s="8">
        <f>U10/درآمدها!$J$5</f>
        <v>1.0322119358205593E-2</v>
      </c>
      <c r="Z10" s="217"/>
      <c r="AC10" s="217"/>
      <c r="AD10" s="218"/>
      <c r="AE10" s="217"/>
      <c r="AF10" s="218"/>
      <c r="AG10" s="217"/>
    </row>
    <row r="11" spans="1:33" ht="28.5" customHeight="1">
      <c r="A11" s="4" t="s">
        <v>149</v>
      </c>
      <c r="C11" s="167">
        <v>67316</v>
      </c>
      <c r="E11" s="4">
        <v>1308035336</v>
      </c>
      <c r="G11" s="167">
        <v>1152284394</v>
      </c>
      <c r="I11" s="4">
        <v>0</v>
      </c>
      <c r="J11" s="4">
        <v>0</v>
      </c>
      <c r="K11" s="215"/>
      <c r="L11" s="4">
        <v>0</v>
      </c>
      <c r="M11" s="4">
        <v>0</v>
      </c>
      <c r="O11" s="4">
        <v>67316</v>
      </c>
      <c r="Q11" s="216">
        <v>16130</v>
      </c>
      <c r="S11" s="4">
        <v>1308035336</v>
      </c>
      <c r="U11" s="167">
        <v>1079346531</v>
      </c>
      <c r="V11" s="215"/>
      <c r="W11" s="8">
        <f>U11/درآمدها!$J$5</f>
        <v>1.106014199584494E-2</v>
      </c>
      <c r="Z11" s="217"/>
      <c r="AC11" s="217"/>
      <c r="AD11" s="218"/>
      <c r="AE11" s="217"/>
      <c r="AF11" s="218"/>
      <c r="AG11" s="217"/>
    </row>
    <row r="12" spans="1:33" ht="28.5" customHeight="1">
      <c r="A12" s="4" t="s">
        <v>126</v>
      </c>
      <c r="C12" s="167">
        <v>219710</v>
      </c>
      <c r="E12" s="4">
        <v>4544796265</v>
      </c>
      <c r="G12" s="167">
        <v>4095051107</v>
      </c>
      <c r="I12" s="4">
        <v>0</v>
      </c>
      <c r="J12" s="4">
        <v>0</v>
      </c>
      <c r="K12" s="215"/>
      <c r="L12" s="4">
        <v>219710</v>
      </c>
      <c r="M12" s="4">
        <v>4061337040</v>
      </c>
      <c r="O12" s="4">
        <v>0</v>
      </c>
      <c r="Q12" s="216">
        <v>0</v>
      </c>
      <c r="S12" s="4">
        <v>0</v>
      </c>
      <c r="U12" s="167">
        <v>0</v>
      </c>
      <c r="V12" s="215"/>
      <c r="W12" s="8">
        <f>U12/درآمدها!$J$5</f>
        <v>0</v>
      </c>
      <c r="Z12" s="217"/>
      <c r="AC12" s="217"/>
      <c r="AD12" s="218"/>
      <c r="AE12" s="217"/>
      <c r="AF12" s="218"/>
      <c r="AG12" s="217"/>
    </row>
    <row r="13" spans="1:33" ht="28.5" customHeight="1">
      <c r="A13" s="4" t="s">
        <v>127</v>
      </c>
      <c r="C13" s="167">
        <v>64886</v>
      </c>
      <c r="E13" s="4">
        <v>1121315880</v>
      </c>
      <c r="G13" s="167">
        <v>1474468366</v>
      </c>
      <c r="I13" s="4">
        <v>0</v>
      </c>
      <c r="J13" s="4">
        <v>0</v>
      </c>
      <c r="K13" s="215"/>
      <c r="L13" s="4">
        <v>0</v>
      </c>
      <c r="M13" s="4">
        <v>0</v>
      </c>
      <c r="O13" s="4">
        <v>64886</v>
      </c>
      <c r="Q13" s="216">
        <v>19660</v>
      </c>
      <c r="S13" s="4">
        <v>1121315880</v>
      </c>
      <c r="U13" s="167">
        <v>1268068595</v>
      </c>
      <c r="V13" s="215"/>
      <c r="W13" s="8">
        <f>U13/درآمدها!$J$5</f>
        <v>1.2993990640038098E-2</v>
      </c>
      <c r="Z13" s="217"/>
      <c r="AC13" s="217"/>
      <c r="AD13" s="218"/>
      <c r="AE13" s="217"/>
      <c r="AF13" s="218"/>
      <c r="AG13" s="217"/>
    </row>
    <row r="14" spans="1:33" ht="28.5" customHeight="1">
      <c r="A14" s="4" t="s">
        <v>125</v>
      </c>
      <c r="C14" s="167">
        <v>269257</v>
      </c>
      <c r="E14" s="4">
        <v>3501026075</v>
      </c>
      <c r="G14" s="167">
        <v>3417953342</v>
      </c>
      <c r="I14" s="4">
        <v>0</v>
      </c>
      <c r="J14" s="4">
        <v>0</v>
      </c>
      <c r="K14" s="215"/>
      <c r="L14" s="4">
        <v>41440</v>
      </c>
      <c r="M14" s="4">
        <v>507468115</v>
      </c>
      <c r="O14" s="4">
        <v>227817</v>
      </c>
      <c r="Q14" s="216">
        <v>12170</v>
      </c>
      <c r="S14" s="4">
        <v>2962200639</v>
      </c>
      <c r="U14" s="167">
        <v>2756036324</v>
      </c>
      <c r="V14" s="215"/>
      <c r="W14" s="8">
        <f>U14/درآمدها!$J$5</f>
        <v>2.8241303616277167E-2</v>
      </c>
      <c r="Z14" s="217"/>
      <c r="AC14" s="217"/>
      <c r="AD14" s="218"/>
      <c r="AE14" s="217"/>
      <c r="AF14" s="218"/>
      <c r="AG14" s="217"/>
    </row>
    <row r="15" spans="1:33" ht="28.5" customHeight="1">
      <c r="A15" s="4" t="s">
        <v>88</v>
      </c>
      <c r="C15" s="167">
        <v>188661</v>
      </c>
      <c r="E15" s="4">
        <v>2243919659</v>
      </c>
      <c r="G15" s="167">
        <v>2092929296</v>
      </c>
      <c r="I15" s="4">
        <v>0</v>
      </c>
      <c r="J15" s="4">
        <v>0</v>
      </c>
      <c r="K15" s="215"/>
      <c r="L15" s="4">
        <v>30000</v>
      </c>
      <c r="M15" s="4">
        <v>301197150</v>
      </c>
      <c r="O15" s="4">
        <v>158661</v>
      </c>
      <c r="Q15" s="216">
        <v>8360</v>
      </c>
      <c r="S15" s="4">
        <v>1887101929</v>
      </c>
      <c r="U15" s="167">
        <v>1318513848</v>
      </c>
      <c r="V15" s="215"/>
      <c r="W15" s="8">
        <f>U15/درآمدها!$J$5</f>
        <v>1.3510906797335057E-2</v>
      </c>
      <c r="Z15" s="217"/>
      <c r="AC15" s="217"/>
      <c r="AD15" s="218"/>
      <c r="AE15" s="217"/>
      <c r="AF15" s="218"/>
      <c r="AG15" s="217"/>
    </row>
    <row r="16" spans="1:33" ht="28.5" customHeight="1">
      <c r="A16" s="4" t="s">
        <v>113</v>
      </c>
      <c r="C16" s="167">
        <v>3023223</v>
      </c>
      <c r="E16" s="4">
        <v>10039326491</v>
      </c>
      <c r="G16" s="167">
        <v>8111128791</v>
      </c>
      <c r="I16" s="4">
        <v>0</v>
      </c>
      <c r="J16" s="4">
        <v>0</v>
      </c>
      <c r="K16" s="215"/>
      <c r="L16" s="4">
        <v>709352</v>
      </c>
      <c r="M16" s="4">
        <v>1881154782</v>
      </c>
      <c r="O16" s="4">
        <v>2313871</v>
      </c>
      <c r="Q16" s="216">
        <v>2672</v>
      </c>
      <c r="S16" s="4">
        <v>7683755524</v>
      </c>
      <c r="U16" s="167">
        <v>6145876470</v>
      </c>
      <c r="V16" s="215"/>
      <c r="W16" s="8">
        <f>U16/درآمدها!$J$5</f>
        <v>6.2977240853449565E-2</v>
      </c>
      <c r="Z16" s="217"/>
      <c r="AC16" s="217"/>
      <c r="AD16" s="218"/>
      <c r="AE16" s="217"/>
      <c r="AF16" s="218"/>
      <c r="AG16" s="217"/>
    </row>
    <row r="17" spans="1:33" ht="28.5" customHeight="1">
      <c r="A17" s="4" t="s">
        <v>128</v>
      </c>
      <c r="C17" s="167">
        <v>3076998</v>
      </c>
      <c r="E17" s="4">
        <v>3700797929</v>
      </c>
      <c r="G17" s="167">
        <v>3138215805</v>
      </c>
      <c r="I17" s="4">
        <v>0</v>
      </c>
      <c r="J17" s="4">
        <v>0</v>
      </c>
      <c r="K17" s="215"/>
      <c r="L17" s="4">
        <v>1000000</v>
      </c>
      <c r="M17" s="4">
        <v>1007986627</v>
      </c>
      <c r="O17" s="4">
        <v>2076998</v>
      </c>
      <c r="Q17" s="216">
        <v>1029</v>
      </c>
      <c r="S17" s="4">
        <v>2498067889</v>
      </c>
      <c r="U17" s="167">
        <v>2124514423</v>
      </c>
      <c r="V17" s="215"/>
      <c r="W17" s="8">
        <f>U17/درآمدها!$J$5</f>
        <v>2.1770053004970081E-2</v>
      </c>
      <c r="Z17" s="217"/>
      <c r="AC17" s="217"/>
      <c r="AD17" s="218"/>
      <c r="AE17" s="217"/>
      <c r="AF17" s="218"/>
      <c r="AG17" s="217"/>
    </row>
    <row r="18" spans="1:33" ht="28.5" customHeight="1">
      <c r="A18" s="4" t="s">
        <v>102</v>
      </c>
      <c r="C18" s="167">
        <v>40877</v>
      </c>
      <c r="E18" s="4">
        <v>961580718</v>
      </c>
      <c r="G18" s="167">
        <v>1028034684</v>
      </c>
      <c r="I18" s="4">
        <v>0</v>
      </c>
      <c r="J18" s="4">
        <v>0</v>
      </c>
      <c r="K18" s="215"/>
      <c r="L18" s="4">
        <v>0</v>
      </c>
      <c r="M18" s="4">
        <v>0</v>
      </c>
      <c r="O18" s="4">
        <v>40877</v>
      </c>
      <c r="Q18" s="216">
        <v>22530</v>
      </c>
      <c r="S18" s="4">
        <v>961580718</v>
      </c>
      <c r="U18" s="167">
        <v>915479109</v>
      </c>
      <c r="V18" s="215"/>
      <c r="W18" s="8">
        <f>U18/درآمدها!$J$5</f>
        <v>9.3809806665044147E-3</v>
      </c>
      <c r="Z18" s="217"/>
      <c r="AC18" s="219"/>
      <c r="AD18" s="218"/>
      <c r="AE18" s="217"/>
      <c r="AF18" s="218"/>
      <c r="AG18" s="217"/>
    </row>
    <row r="19" spans="1:33" ht="28.5" customHeight="1">
      <c r="A19" s="4" t="s">
        <v>90</v>
      </c>
      <c r="C19" s="167">
        <v>193122</v>
      </c>
      <c r="E19" s="4">
        <v>4102048125</v>
      </c>
      <c r="G19" s="167">
        <v>3465111283</v>
      </c>
      <c r="I19" s="4">
        <v>0</v>
      </c>
      <c r="J19" s="4">
        <v>0</v>
      </c>
      <c r="K19" s="215"/>
      <c r="L19" s="4">
        <v>1090</v>
      </c>
      <c r="M19" s="4">
        <v>18972342</v>
      </c>
      <c r="O19" s="4">
        <v>192032</v>
      </c>
      <c r="Q19" s="216">
        <v>16900</v>
      </c>
      <c r="S19" s="4">
        <v>4078895753</v>
      </c>
      <c r="U19" s="167">
        <v>3226031024</v>
      </c>
      <c r="V19" s="215"/>
      <c r="W19" s="8">
        <f>U19/درآمدها!$J$5</f>
        <v>3.305737331214998E-2</v>
      </c>
      <c r="Z19" s="217"/>
      <c r="AC19" s="217"/>
      <c r="AD19" s="218"/>
      <c r="AE19" s="217"/>
      <c r="AF19" s="218"/>
      <c r="AG19" s="217"/>
    </row>
    <row r="20" spans="1:33" ht="28.5" customHeight="1">
      <c r="A20" s="4" t="s">
        <v>91</v>
      </c>
      <c r="C20" s="167">
        <v>279728</v>
      </c>
      <c r="E20" s="4">
        <v>5132331673</v>
      </c>
      <c r="G20" s="167">
        <v>5158080124</v>
      </c>
      <c r="I20" s="4">
        <v>0</v>
      </c>
      <c r="J20" s="4">
        <v>0</v>
      </c>
      <c r="K20" s="215"/>
      <c r="L20" s="4">
        <v>71474</v>
      </c>
      <c r="M20" s="4">
        <v>1281462599</v>
      </c>
      <c r="O20" s="4">
        <v>208254</v>
      </c>
      <c r="Q20" s="216">
        <v>18070</v>
      </c>
      <c r="S20" s="4">
        <v>3820956787</v>
      </c>
      <c r="U20" s="167">
        <v>3740759044</v>
      </c>
      <c r="V20" s="215"/>
      <c r="W20" s="8">
        <f>U20/درآمدها!$J$5</f>
        <v>3.8331828574599991E-2</v>
      </c>
      <c r="Z20" s="217"/>
      <c r="AC20" s="217"/>
      <c r="AD20" s="218"/>
      <c r="AE20" s="217"/>
      <c r="AF20" s="218"/>
      <c r="AG20" s="217"/>
    </row>
    <row r="21" spans="1:33" ht="28.5" customHeight="1">
      <c r="A21" s="4" t="s">
        <v>150</v>
      </c>
      <c r="C21" s="167">
        <v>625000</v>
      </c>
      <c r="E21" s="4">
        <v>6380788500</v>
      </c>
      <c r="G21" s="167">
        <v>5808979689</v>
      </c>
      <c r="I21" s="4">
        <v>0</v>
      </c>
      <c r="J21" s="4">
        <v>0</v>
      </c>
      <c r="K21" s="215"/>
      <c r="L21" s="4">
        <v>0</v>
      </c>
      <c r="M21" s="4">
        <v>0</v>
      </c>
      <c r="O21" s="4">
        <v>625000</v>
      </c>
      <c r="Q21" s="216">
        <v>8450</v>
      </c>
      <c r="S21" s="4">
        <v>6380788500</v>
      </c>
      <c r="U21" s="167">
        <v>5249826564</v>
      </c>
      <c r="V21" s="215"/>
      <c r="W21" s="8">
        <f>U21/درآمدها!$J$5</f>
        <v>5.3795352635824377E-2</v>
      </c>
      <c r="Z21" s="217"/>
      <c r="AC21" s="217"/>
      <c r="AD21" s="218"/>
      <c r="AE21" s="217"/>
      <c r="AF21" s="218"/>
      <c r="AG21" s="217"/>
    </row>
    <row r="22" spans="1:33" ht="28.5" customHeight="1">
      <c r="A22" s="4" t="s">
        <v>129</v>
      </c>
      <c r="C22" s="167">
        <v>572500</v>
      </c>
      <c r="E22" s="4">
        <v>7563861753</v>
      </c>
      <c r="G22" s="167">
        <v>7386835254</v>
      </c>
      <c r="I22" s="4">
        <v>0</v>
      </c>
      <c r="J22" s="4">
        <v>0</v>
      </c>
      <c r="K22" s="215"/>
      <c r="L22" s="4">
        <v>0</v>
      </c>
      <c r="M22" s="4">
        <v>0</v>
      </c>
      <c r="O22" s="4">
        <v>572500</v>
      </c>
      <c r="Q22" s="216">
        <v>10910</v>
      </c>
      <c r="S22" s="4">
        <v>7563861753</v>
      </c>
      <c r="U22" s="167">
        <v>6208811451</v>
      </c>
      <c r="V22" s="215"/>
      <c r="W22" s="8">
        <f>U22/درآمدها!$J$5</f>
        <v>6.3622140157217094E-2</v>
      </c>
      <c r="Z22" s="217"/>
      <c r="AC22" s="217"/>
      <c r="AD22" s="218"/>
      <c r="AE22" s="217"/>
      <c r="AF22" s="218"/>
      <c r="AG22" s="217"/>
    </row>
    <row r="23" spans="1:33" ht="28.5" customHeight="1">
      <c r="A23" s="4" t="s">
        <v>103</v>
      </c>
      <c r="C23" s="167">
        <v>64355</v>
      </c>
      <c r="E23" s="4">
        <v>990259829</v>
      </c>
      <c r="G23" s="167">
        <v>1014597314</v>
      </c>
      <c r="I23" s="4">
        <v>0</v>
      </c>
      <c r="J23" s="4">
        <v>0</v>
      </c>
      <c r="K23" s="215"/>
      <c r="L23" s="4">
        <v>0</v>
      </c>
      <c r="M23" s="4">
        <v>0</v>
      </c>
      <c r="O23" s="4">
        <v>64355</v>
      </c>
      <c r="Q23" s="216">
        <v>12400</v>
      </c>
      <c r="S23" s="4">
        <v>990259829</v>
      </c>
      <c r="U23" s="167">
        <v>793253889</v>
      </c>
      <c r="V23" s="215"/>
      <c r="W23" s="8">
        <f>U23/درآمدها!$J$5</f>
        <v>8.1285299939470711E-3</v>
      </c>
      <c r="Z23" s="217"/>
      <c r="AC23" s="217"/>
      <c r="AD23" s="218"/>
      <c r="AE23" s="217"/>
      <c r="AF23" s="218"/>
      <c r="AG23" s="217"/>
    </row>
    <row r="24" spans="1:33" ht="28.5" customHeight="1">
      <c r="A24" s="4" t="s">
        <v>130</v>
      </c>
      <c r="C24" s="167">
        <v>200000</v>
      </c>
      <c r="E24" s="4">
        <v>1691534520</v>
      </c>
      <c r="G24" s="167">
        <v>2075576400</v>
      </c>
      <c r="I24" s="4">
        <v>0</v>
      </c>
      <c r="J24" s="4">
        <v>0</v>
      </c>
      <c r="K24" s="215"/>
      <c r="L24" s="4">
        <v>0</v>
      </c>
      <c r="M24" s="4">
        <v>0</v>
      </c>
      <c r="O24" s="4">
        <v>200000</v>
      </c>
      <c r="Q24" s="216">
        <v>10130</v>
      </c>
      <c r="S24" s="4">
        <v>1691534520</v>
      </c>
      <c r="U24" s="167">
        <v>2013945300</v>
      </c>
      <c r="V24" s="215"/>
      <c r="W24" s="8">
        <f>U24/درآمدها!$J$5</f>
        <v>2.0637043201711589E-2</v>
      </c>
      <c r="Z24" s="217"/>
      <c r="AC24" s="217"/>
      <c r="AD24" s="218"/>
      <c r="AE24" s="217"/>
      <c r="AF24" s="218"/>
      <c r="AG24" s="217"/>
    </row>
    <row r="25" spans="1:33" ht="28.5" customHeight="1">
      <c r="A25" s="4" t="s">
        <v>112</v>
      </c>
      <c r="C25" s="167">
        <v>631758</v>
      </c>
      <c r="E25" s="4">
        <v>5114796332</v>
      </c>
      <c r="G25" s="167">
        <v>5796431142</v>
      </c>
      <c r="I25" s="4">
        <v>0</v>
      </c>
      <c r="J25" s="4">
        <v>0</v>
      </c>
      <c r="K25" s="215"/>
      <c r="L25" s="4">
        <v>294100</v>
      </c>
      <c r="M25" s="4">
        <v>2605351275</v>
      </c>
      <c r="O25" s="4">
        <v>337658</v>
      </c>
      <c r="Q25" s="216">
        <v>7870</v>
      </c>
      <c r="S25" s="4">
        <v>2733723831</v>
      </c>
      <c r="U25" s="167">
        <v>2641557119</v>
      </c>
      <c r="V25" s="215"/>
      <c r="W25" s="8">
        <f>U25/درآمدها!$J$5</f>
        <v>2.706822691986312E-2</v>
      </c>
      <c r="Z25" s="217"/>
      <c r="AC25" s="217"/>
      <c r="AD25" s="218"/>
      <c r="AE25" s="217"/>
      <c r="AF25" s="218"/>
      <c r="AG25" s="217"/>
    </row>
    <row r="26" spans="1:33" ht="28.5" customHeight="1">
      <c r="A26" s="4" t="s">
        <v>105</v>
      </c>
      <c r="C26" s="167">
        <v>36974</v>
      </c>
      <c r="E26" s="4">
        <v>945143090</v>
      </c>
      <c r="G26" s="167">
        <v>790578645</v>
      </c>
      <c r="I26" s="4">
        <v>0</v>
      </c>
      <c r="J26" s="4">
        <v>0</v>
      </c>
      <c r="K26" s="215"/>
      <c r="L26" s="4">
        <v>0</v>
      </c>
      <c r="M26" s="4">
        <v>0</v>
      </c>
      <c r="O26" s="4">
        <v>36974</v>
      </c>
      <c r="Q26" s="216">
        <v>21960</v>
      </c>
      <c r="S26" s="4">
        <v>945143090</v>
      </c>
      <c r="U26" s="167">
        <v>807117947</v>
      </c>
      <c r="V26" s="215"/>
      <c r="W26" s="8">
        <f>U26/درآمدها!$J$5</f>
        <v>8.2705959993629244E-3</v>
      </c>
      <c r="Z26" s="217"/>
      <c r="AC26" s="217"/>
      <c r="AD26" s="218"/>
      <c r="AE26" s="217"/>
      <c r="AF26" s="218"/>
      <c r="AG26" s="217"/>
    </row>
    <row r="27" spans="1:33" ht="28.5" customHeight="1">
      <c r="A27" s="4" t="s">
        <v>92</v>
      </c>
      <c r="C27" s="167">
        <v>132916</v>
      </c>
      <c r="E27" s="4">
        <v>6835622705</v>
      </c>
      <c r="G27" s="167">
        <v>6710636361</v>
      </c>
      <c r="I27" s="4">
        <v>0</v>
      </c>
      <c r="J27" s="4">
        <v>0</v>
      </c>
      <c r="K27" s="215"/>
      <c r="L27" s="4">
        <v>52637</v>
      </c>
      <c r="M27" s="4">
        <v>2546702971</v>
      </c>
      <c r="O27" s="4">
        <v>80279</v>
      </c>
      <c r="Q27" s="216">
        <v>48920</v>
      </c>
      <c r="S27" s="4">
        <v>4128599680</v>
      </c>
      <c r="U27" s="167">
        <v>3903881555</v>
      </c>
      <c r="V27" s="215"/>
      <c r="W27" s="8">
        <f>U27/درآمدها!$J$5</f>
        <v>4.0003356747027846E-2</v>
      </c>
      <c r="Z27" s="217"/>
      <c r="AC27" s="217"/>
      <c r="AD27" s="218"/>
      <c r="AE27" s="217"/>
      <c r="AF27" s="218"/>
      <c r="AG27" s="217"/>
    </row>
    <row r="28" spans="1:33" ht="28.5" customHeight="1">
      <c r="A28" s="4" t="s">
        <v>93</v>
      </c>
      <c r="C28" s="167">
        <v>1246167</v>
      </c>
      <c r="E28" s="4">
        <v>13284965635</v>
      </c>
      <c r="G28" s="167">
        <v>10380744330</v>
      </c>
      <c r="I28" s="4">
        <v>0</v>
      </c>
      <c r="J28" s="4">
        <v>0</v>
      </c>
      <c r="K28" s="215"/>
      <c r="L28" s="4">
        <v>375994</v>
      </c>
      <c r="M28" s="4">
        <v>3093323533</v>
      </c>
      <c r="O28" s="4">
        <v>870173</v>
      </c>
      <c r="Q28" s="216">
        <v>8220</v>
      </c>
      <c r="S28" s="4">
        <v>9276620550</v>
      </c>
      <c r="U28" s="167">
        <v>7110262773</v>
      </c>
      <c r="V28" s="215"/>
      <c r="W28" s="8">
        <f>U28/درآمدها!$J$5</f>
        <v>7.2859377075396567E-2</v>
      </c>
      <c r="Z28" s="217"/>
      <c r="AC28" s="217"/>
      <c r="AD28" s="218"/>
      <c r="AE28" s="217"/>
      <c r="AF28" s="218"/>
      <c r="AG28" s="217"/>
    </row>
    <row r="29" spans="1:33" ht="28.5" customHeight="1">
      <c r="A29" s="4" t="s">
        <v>94</v>
      </c>
      <c r="C29" s="167">
        <v>2111363</v>
      </c>
      <c r="E29" s="4">
        <v>15048195045</v>
      </c>
      <c r="G29" s="167">
        <v>16118786998</v>
      </c>
      <c r="I29" s="4">
        <v>0</v>
      </c>
      <c r="J29" s="4">
        <v>0</v>
      </c>
      <c r="K29" s="215"/>
      <c r="L29" s="4">
        <v>311518</v>
      </c>
      <c r="M29" s="4">
        <v>2300117322</v>
      </c>
      <c r="O29" s="4">
        <v>1799845</v>
      </c>
      <c r="Q29" s="216">
        <v>5600</v>
      </c>
      <c r="S29" s="4">
        <v>12827930872</v>
      </c>
      <c r="U29" s="167">
        <v>10019161169</v>
      </c>
      <c r="V29" s="215"/>
      <c r="W29" s="8">
        <f>U29/درآمدها!$J$5</f>
        <v>0.10266706940330714</v>
      </c>
      <c r="Z29" s="217"/>
      <c r="AC29" s="217"/>
      <c r="AD29" s="218"/>
      <c r="AE29" s="217"/>
      <c r="AF29" s="218"/>
      <c r="AG29" s="217"/>
    </row>
    <row r="30" spans="1:33" ht="28.5" customHeight="1">
      <c r="A30" s="4" t="s">
        <v>95</v>
      </c>
      <c r="C30" s="167">
        <v>1607112</v>
      </c>
      <c r="E30" s="4">
        <v>5667645293</v>
      </c>
      <c r="G30" s="167">
        <v>5268718860</v>
      </c>
      <c r="I30" s="4">
        <v>0</v>
      </c>
      <c r="J30" s="4">
        <v>0</v>
      </c>
      <c r="K30" s="215"/>
      <c r="L30" s="4">
        <v>693750</v>
      </c>
      <c r="M30" s="4">
        <v>2277687621</v>
      </c>
      <c r="O30" s="4">
        <v>913362</v>
      </c>
      <c r="Q30" s="216">
        <v>3451</v>
      </c>
      <c r="S30" s="4">
        <v>3221064767</v>
      </c>
      <c r="U30" s="167">
        <v>3133257792</v>
      </c>
      <c r="V30" s="215"/>
      <c r="W30" s="8">
        <f>U30/درآمدها!$J$5</f>
        <v>3.2106719291533622E-2</v>
      </c>
      <c r="Z30" s="217"/>
      <c r="AC30" s="217"/>
      <c r="AD30" s="218"/>
      <c r="AE30" s="217"/>
      <c r="AF30" s="218"/>
      <c r="AG30" s="217"/>
    </row>
    <row r="31" spans="1:33" ht="28.5" customHeight="1" thickBot="1">
      <c r="A31" s="4" t="s">
        <v>2</v>
      </c>
      <c r="C31" s="167"/>
      <c r="E31" s="168">
        <f>SUM(E10:E30)</f>
        <v>101602158261</v>
      </c>
      <c r="G31" s="169">
        <f>SUM(G10:G30)</f>
        <v>95792636034</v>
      </c>
      <c r="J31" s="168">
        <f>SUM(J10:J30)</f>
        <v>0</v>
      </c>
      <c r="K31" s="215"/>
      <c r="M31" s="168">
        <f>SUM(M10:M30)</f>
        <v>22183807434</v>
      </c>
      <c r="S31" s="168">
        <f>SUM(S10:S30)</f>
        <v>77167786145</v>
      </c>
      <c r="U31" s="168">
        <f>SUM(U10:U30)</f>
        <v>65463024678</v>
      </c>
      <c r="V31" s="215"/>
      <c r="W31" s="55">
        <f>SUM(W10:W30)</f>
        <v>0.67080435024456631</v>
      </c>
      <c r="Z31" s="217"/>
      <c r="AC31" s="217"/>
      <c r="AD31" s="218"/>
      <c r="AE31" s="217"/>
      <c r="AF31" s="218"/>
      <c r="AG31" s="217"/>
    </row>
    <row r="32" spans="1:33" ht="31.5" thickTop="1">
      <c r="A32" s="4"/>
    </row>
    <row r="33" spans="2:2" s="220" customFormat="1" ht="15.75"/>
    <row r="34" spans="2:2" s="220" customFormat="1" ht="15.75"/>
    <row r="35" spans="2:2" s="220" customFormat="1" ht="15.75"/>
    <row r="36" spans="2:2" s="220" customFormat="1" ht="15.75"/>
    <row r="37" spans="2:2" s="220" customFormat="1" ht="15.75"/>
    <row r="38" spans="2:2" s="220" customFormat="1" ht="15.75"/>
    <row r="39" spans="2:2" s="220" customFormat="1" ht="15.75"/>
    <row r="40" spans="2:2" s="220" customFormat="1" ht="15.75"/>
    <row r="41" spans="2:2">
      <c r="B41" s="4"/>
    </row>
    <row r="42" spans="2:2">
      <c r="B42" s="4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26"/>
  <sheetViews>
    <sheetView rightToLeft="1" view="pageBreakPreview" zoomScale="55" zoomScaleNormal="100" zoomScaleSheetLayoutView="55" workbookViewId="0">
      <selection activeCell="E19" sqref="E19"/>
    </sheetView>
  </sheetViews>
  <sheetFormatPr defaultColWidth="9.140625" defaultRowHeight="15.75"/>
  <cols>
    <col min="1" max="1" width="45.140625" style="222" bestFit="1" customWidth="1"/>
    <col min="2" max="2" width="0.5703125" style="222" customWidth="1"/>
    <col min="3" max="3" width="24.28515625" style="222" bestFit="1" customWidth="1"/>
    <col min="4" max="4" width="0.5703125" style="222" customWidth="1"/>
    <col min="5" max="5" width="37.42578125" style="222" bestFit="1" customWidth="1"/>
    <col min="6" max="6" width="0.5703125" style="222" customWidth="1"/>
    <col min="7" max="7" width="20.28515625" style="222" bestFit="1" customWidth="1"/>
    <col min="8" max="8" width="0.5703125" style="222" customWidth="1"/>
    <col min="9" max="9" width="16.7109375" style="222" bestFit="1" customWidth="1"/>
    <col min="10" max="10" width="0.42578125" style="222" customWidth="1"/>
    <col min="11" max="11" width="17.28515625" style="222" bestFit="1" customWidth="1"/>
    <col min="12" max="12" width="0.7109375" style="222" customWidth="1"/>
    <col min="13" max="13" width="12" style="222" bestFit="1" customWidth="1"/>
    <col min="14" max="14" width="1.140625" style="222" customWidth="1"/>
    <col min="15" max="15" width="24" style="222" bestFit="1" customWidth="1"/>
    <col min="16" max="16" width="0.5703125" style="222" customWidth="1"/>
    <col min="17" max="17" width="24" style="222" bestFit="1" customWidth="1"/>
    <col min="18" max="18" width="0.5703125" style="222" customWidth="1"/>
    <col min="19" max="19" width="7.85546875" style="222" bestFit="1" customWidth="1"/>
    <col min="20" max="20" width="17.28515625" style="222" bestFit="1" customWidth="1"/>
    <col min="21" max="21" width="0.5703125" style="222" customWidth="1"/>
    <col min="22" max="22" width="12" style="222" bestFit="1" customWidth="1"/>
    <col min="23" max="23" width="24" style="222" bestFit="1" customWidth="1"/>
    <col min="24" max="24" width="0.5703125" style="222" customWidth="1"/>
    <col min="25" max="25" width="12" style="222" bestFit="1" customWidth="1"/>
    <col min="26" max="26" width="0.42578125" style="222" customWidth="1"/>
    <col min="27" max="27" width="21" style="222" bestFit="1" customWidth="1"/>
    <col min="28" max="28" width="0.7109375" style="222" customWidth="1"/>
    <col min="29" max="29" width="24" style="222" bestFit="1" customWidth="1"/>
    <col min="30" max="30" width="0.7109375" style="222" customWidth="1"/>
    <col min="31" max="31" width="24" style="222" bestFit="1" customWidth="1"/>
    <col min="32" max="32" width="0.7109375" style="222" customWidth="1"/>
    <col min="33" max="33" width="23" style="222" bestFit="1" customWidth="1"/>
    <col min="34" max="34" width="9.140625" style="222"/>
    <col min="35" max="35" width="25.42578125" style="222" bestFit="1" customWidth="1"/>
    <col min="36" max="16384" width="9.140625" style="222"/>
  </cols>
  <sheetData>
    <row r="1" spans="1:35" s="221" customFormat="1" ht="24.75">
      <c r="A1" s="271" t="s">
        <v>87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pans="1:35" s="221" customFormat="1" ht="24.75">
      <c r="A2" s="271" t="s">
        <v>46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</row>
    <row r="3" spans="1:35" s="221" customFormat="1" ht="24.75">
      <c r="A3" s="271" t="str">
        <f>' سهام'!A3:W3</f>
        <v>برای ماه منتهی به 1403/03/31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</row>
    <row r="4" spans="1:35" ht="24.75">
      <c r="A4" s="277" t="s">
        <v>63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</row>
    <row r="5" spans="1:35" ht="24.7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</row>
    <row r="6" spans="1:35" ht="27.75" customHeight="1" thickBot="1">
      <c r="A6" s="270" t="s">
        <v>64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 t="str" cm="1">
        <f t="array" ref="M6:Q6">' سهام'!C7:G7</f>
        <v>1403/02/31</v>
      </c>
      <c r="N6" s="270">
        <v>0</v>
      </c>
      <c r="O6" s="270">
        <v>0</v>
      </c>
      <c r="P6" s="270">
        <v>0</v>
      </c>
      <c r="Q6" s="270">
        <v>0</v>
      </c>
      <c r="R6" s="224"/>
      <c r="S6" s="278" t="s">
        <v>7</v>
      </c>
      <c r="T6" s="278"/>
      <c r="U6" s="278"/>
      <c r="V6" s="278"/>
      <c r="W6" s="278"/>
      <c r="X6" s="223"/>
      <c r="Y6" s="270" t="str" cm="1">
        <f t="array" ref="Y6:AG6">' سهام'!O7:W7</f>
        <v>1403/03/31</v>
      </c>
      <c r="Z6" s="270">
        <v>0</v>
      </c>
      <c r="AA6" s="270">
        <v>0</v>
      </c>
      <c r="AB6" s="270">
        <v>0</v>
      </c>
      <c r="AC6" s="270">
        <v>0</v>
      </c>
      <c r="AD6" s="270">
        <v>0</v>
      </c>
      <c r="AE6" s="270">
        <v>0</v>
      </c>
      <c r="AF6" s="270">
        <v>0</v>
      </c>
      <c r="AG6" s="270">
        <v>0</v>
      </c>
    </row>
    <row r="7" spans="1:35" ht="26.25" customHeight="1">
      <c r="A7" s="268" t="s">
        <v>65</v>
      </c>
      <c r="B7" s="225"/>
      <c r="C7" s="274" t="s">
        <v>66</v>
      </c>
      <c r="D7" s="225"/>
      <c r="E7" s="276" t="s">
        <v>71</v>
      </c>
      <c r="F7" s="225"/>
      <c r="G7" s="269" t="s">
        <v>67</v>
      </c>
      <c r="H7" s="225"/>
      <c r="I7" s="274" t="s">
        <v>20</v>
      </c>
      <c r="J7" s="225"/>
      <c r="K7" s="276" t="s">
        <v>68</v>
      </c>
      <c r="L7" s="226"/>
      <c r="M7" s="272" t="s">
        <v>3</v>
      </c>
      <c r="N7" s="269"/>
      <c r="O7" s="269" t="s">
        <v>0</v>
      </c>
      <c r="P7" s="269"/>
      <c r="Q7" s="269" t="s">
        <v>18</v>
      </c>
      <c r="R7" s="225"/>
      <c r="S7" s="271" t="s">
        <v>4</v>
      </c>
      <c r="T7" s="271"/>
      <c r="U7" s="223"/>
      <c r="V7" s="271" t="s">
        <v>5</v>
      </c>
      <c r="W7" s="271"/>
      <c r="X7" s="223"/>
      <c r="Y7" s="272" t="s">
        <v>3</v>
      </c>
      <c r="Z7" s="268"/>
      <c r="AA7" s="269" t="s">
        <v>69</v>
      </c>
      <c r="AB7" s="225"/>
      <c r="AC7" s="269" t="s">
        <v>0</v>
      </c>
      <c r="AD7" s="268"/>
      <c r="AE7" s="269" t="s">
        <v>18</v>
      </c>
      <c r="AF7" s="227"/>
      <c r="AG7" s="269" t="s">
        <v>19</v>
      </c>
    </row>
    <row r="8" spans="1:35" s="230" customFormat="1" ht="55.5" customHeight="1" thickBot="1">
      <c r="A8" s="270"/>
      <c r="B8" s="225"/>
      <c r="C8" s="275"/>
      <c r="D8" s="225"/>
      <c r="E8" s="275"/>
      <c r="F8" s="225"/>
      <c r="G8" s="270"/>
      <c r="H8" s="225"/>
      <c r="I8" s="275"/>
      <c r="J8" s="225"/>
      <c r="K8" s="275"/>
      <c r="L8" s="224"/>
      <c r="M8" s="273"/>
      <c r="N8" s="268"/>
      <c r="O8" s="270"/>
      <c r="P8" s="268"/>
      <c r="Q8" s="270"/>
      <c r="R8" s="225"/>
      <c r="S8" s="228" t="s">
        <v>3</v>
      </c>
      <c r="T8" s="228" t="s">
        <v>0</v>
      </c>
      <c r="U8" s="229"/>
      <c r="V8" s="228" t="s">
        <v>3</v>
      </c>
      <c r="W8" s="228" t="s">
        <v>45</v>
      </c>
      <c r="X8" s="229"/>
      <c r="Y8" s="273"/>
      <c r="Z8" s="268"/>
      <c r="AA8" s="270"/>
      <c r="AB8" s="225"/>
      <c r="AC8" s="270"/>
      <c r="AD8" s="268"/>
      <c r="AE8" s="270"/>
      <c r="AF8" s="227"/>
      <c r="AG8" s="270"/>
    </row>
    <row r="9" spans="1:35" s="230" customFormat="1" ht="55.5" customHeight="1">
      <c r="A9" s="231" t="s">
        <v>108</v>
      </c>
      <c r="B9" s="225"/>
      <c r="C9" s="232" t="s">
        <v>109</v>
      </c>
      <c r="D9" s="210"/>
      <c r="E9" s="232" t="s">
        <v>109</v>
      </c>
      <c r="F9" s="210"/>
      <c r="G9" s="232" t="s">
        <v>110</v>
      </c>
      <c r="H9" s="210"/>
      <c r="I9" s="232" t="s">
        <v>111</v>
      </c>
      <c r="J9" s="232"/>
      <c r="K9" s="233">
        <v>1000000</v>
      </c>
      <c r="L9" s="224"/>
      <c r="M9" s="4">
        <v>3000</v>
      </c>
      <c r="N9" s="215"/>
      <c r="O9" s="4">
        <v>2082373207</v>
      </c>
      <c r="P9" s="4"/>
      <c r="Q9" s="4">
        <v>2155769197</v>
      </c>
      <c r="R9" s="4"/>
      <c r="S9" s="4">
        <v>0</v>
      </c>
      <c r="T9" s="4">
        <v>0</v>
      </c>
      <c r="U9" s="4"/>
      <c r="V9" s="4">
        <v>3000</v>
      </c>
      <c r="W9" s="4">
        <v>2198901381</v>
      </c>
      <c r="X9" s="4"/>
      <c r="Y9" s="4">
        <v>0</v>
      </c>
      <c r="Z9" s="4"/>
      <c r="AA9" s="234">
        <v>0</v>
      </c>
      <c r="AB9" s="4"/>
      <c r="AC9" s="4">
        <v>0</v>
      </c>
      <c r="AD9" s="4"/>
      <c r="AE9" s="4">
        <v>0</v>
      </c>
      <c r="AG9" s="8">
        <f>AE9/درآمدها!$J$5</f>
        <v>0</v>
      </c>
      <c r="AI9" s="4"/>
    </row>
    <row r="10" spans="1:35" s="230" customFormat="1" ht="55.5" customHeight="1">
      <c r="A10" s="231" t="s">
        <v>114</v>
      </c>
      <c r="B10" s="225"/>
      <c r="C10" s="232" t="s">
        <v>109</v>
      </c>
      <c r="D10" s="210"/>
      <c r="E10" s="232" t="s">
        <v>109</v>
      </c>
      <c r="F10" s="210"/>
      <c r="G10" s="232" t="s">
        <v>117</v>
      </c>
      <c r="H10" s="210"/>
      <c r="I10" s="232" t="s">
        <v>120</v>
      </c>
      <c r="J10" s="232"/>
      <c r="K10" s="233">
        <v>1000000</v>
      </c>
      <c r="L10" s="224"/>
      <c r="M10" s="4">
        <v>15220</v>
      </c>
      <c r="N10" s="215"/>
      <c r="O10" s="4">
        <v>10260017426</v>
      </c>
      <c r="P10" s="4"/>
      <c r="Q10" s="4">
        <v>10390180240</v>
      </c>
      <c r="R10" s="4"/>
      <c r="S10" s="4">
        <v>0</v>
      </c>
      <c r="T10" s="4">
        <v>0</v>
      </c>
      <c r="U10" s="4"/>
      <c r="V10" s="4">
        <v>1400</v>
      </c>
      <c r="W10" s="4">
        <v>1005017812</v>
      </c>
      <c r="X10" s="4"/>
      <c r="Y10" s="4">
        <v>13820</v>
      </c>
      <c r="Z10" s="4"/>
      <c r="AA10" s="234">
        <v>738870</v>
      </c>
      <c r="AB10" s="4"/>
      <c r="AC10" s="4">
        <v>9316257610</v>
      </c>
      <c r="AD10" s="4"/>
      <c r="AE10" s="4">
        <v>10209332626</v>
      </c>
      <c r="AG10" s="8">
        <f>AE10/درآمدها!$J$5</f>
        <v>0.10461577008243751</v>
      </c>
      <c r="AI10" s="4"/>
    </row>
    <row r="11" spans="1:35" s="230" customFormat="1" ht="55.5" customHeight="1">
      <c r="A11" s="231" t="s">
        <v>131</v>
      </c>
      <c r="B11" s="225"/>
      <c r="C11" s="232" t="s">
        <v>109</v>
      </c>
      <c r="D11" s="210"/>
      <c r="E11" s="232" t="s">
        <v>109</v>
      </c>
      <c r="F11" s="210"/>
      <c r="G11" s="232" t="s">
        <v>132</v>
      </c>
      <c r="H11" s="210"/>
      <c r="I11" s="232" t="s">
        <v>133</v>
      </c>
      <c r="J11" s="232"/>
      <c r="K11" s="233">
        <v>1000000</v>
      </c>
      <c r="L11" s="224"/>
      <c r="M11" s="4">
        <v>8000</v>
      </c>
      <c r="N11" s="215"/>
      <c r="O11" s="4">
        <v>4953173588</v>
      </c>
      <c r="P11" s="4"/>
      <c r="Q11" s="4">
        <v>4959021016</v>
      </c>
      <c r="R11" s="4"/>
      <c r="S11" s="4">
        <v>0</v>
      </c>
      <c r="T11" s="4">
        <v>0</v>
      </c>
      <c r="U11" s="4"/>
      <c r="V11" s="4">
        <v>0</v>
      </c>
      <c r="W11" s="4">
        <v>0</v>
      </c>
      <c r="X11" s="4"/>
      <c r="Y11" s="4">
        <v>8000</v>
      </c>
      <c r="Z11" s="4"/>
      <c r="AA11" s="234">
        <v>679580</v>
      </c>
      <c r="AB11" s="4"/>
      <c r="AC11" s="4">
        <v>4953173588</v>
      </c>
      <c r="AD11" s="4"/>
      <c r="AE11" s="4">
        <v>5435654610</v>
      </c>
      <c r="AG11" s="8">
        <f>AE11/درآمدها!$J$5</f>
        <v>5.5699546068184058E-2</v>
      </c>
      <c r="AI11" s="4"/>
    </row>
    <row r="12" spans="1:35" s="230" customFormat="1" ht="55.5" customHeight="1">
      <c r="A12" s="231" t="s">
        <v>115</v>
      </c>
      <c r="B12" s="225"/>
      <c r="C12" s="232" t="s">
        <v>109</v>
      </c>
      <c r="D12" s="210"/>
      <c r="E12" s="232" t="s">
        <v>109</v>
      </c>
      <c r="F12" s="210"/>
      <c r="G12" s="232" t="s">
        <v>118</v>
      </c>
      <c r="H12" s="210"/>
      <c r="I12" s="232" t="s">
        <v>121</v>
      </c>
      <c r="J12" s="232"/>
      <c r="K12" s="233">
        <v>1000000</v>
      </c>
      <c r="L12" s="224"/>
      <c r="M12" s="4">
        <v>24300</v>
      </c>
      <c r="N12" s="215"/>
      <c r="O12" s="4">
        <v>15809937367</v>
      </c>
      <c r="P12" s="4"/>
      <c r="Q12" s="4">
        <v>15863080298</v>
      </c>
      <c r="R12" s="4"/>
      <c r="S12" s="4">
        <v>0</v>
      </c>
      <c r="T12" s="4">
        <v>0</v>
      </c>
      <c r="U12" s="4"/>
      <c r="V12" s="4">
        <v>24300</v>
      </c>
      <c r="W12" s="4">
        <v>16266631247</v>
      </c>
      <c r="X12" s="4"/>
      <c r="Y12" s="4">
        <v>0</v>
      </c>
      <c r="Z12" s="4"/>
      <c r="AA12" s="234">
        <v>0</v>
      </c>
      <c r="AB12" s="4"/>
      <c r="AC12" s="4">
        <v>0</v>
      </c>
      <c r="AD12" s="4"/>
      <c r="AE12" s="4">
        <v>0</v>
      </c>
      <c r="AG12" s="8">
        <f>AE12/درآمدها!$J$5</f>
        <v>0</v>
      </c>
      <c r="AI12" s="4"/>
    </row>
    <row r="13" spans="1:35" s="230" customFormat="1" ht="55.5" customHeight="1" thickBot="1">
      <c r="A13" s="231" t="s">
        <v>116</v>
      </c>
      <c r="B13" s="225"/>
      <c r="C13" s="232" t="s">
        <v>109</v>
      </c>
      <c r="D13" s="210"/>
      <c r="E13" s="232" t="s">
        <v>109</v>
      </c>
      <c r="F13" s="210"/>
      <c r="G13" s="232" t="s">
        <v>119</v>
      </c>
      <c r="H13" s="210"/>
      <c r="I13" s="232" t="s">
        <v>122</v>
      </c>
      <c r="J13" s="232"/>
      <c r="K13" s="233">
        <v>1000000</v>
      </c>
      <c r="L13" s="224"/>
      <c r="M13" s="4">
        <v>27300</v>
      </c>
      <c r="N13" s="215"/>
      <c r="O13" s="4">
        <v>14976399978</v>
      </c>
      <c r="P13" s="4"/>
      <c r="Q13" s="4">
        <v>14316254710</v>
      </c>
      <c r="R13" s="4"/>
      <c r="S13" s="4">
        <v>0</v>
      </c>
      <c r="T13" s="4">
        <v>0</v>
      </c>
      <c r="U13" s="4"/>
      <c r="V13" s="4">
        <v>15000</v>
      </c>
      <c r="W13" s="4">
        <v>8068237368</v>
      </c>
      <c r="X13" s="4"/>
      <c r="Y13" s="4">
        <v>12300</v>
      </c>
      <c r="Z13" s="4"/>
      <c r="AA13" s="234">
        <v>590620</v>
      </c>
      <c r="AB13" s="4"/>
      <c r="AC13" s="4">
        <v>6747608781</v>
      </c>
      <c r="AD13" s="4"/>
      <c r="AE13" s="4">
        <v>7263309289</v>
      </c>
      <c r="AG13" s="8">
        <f>AE13/درآمدها!$J$5</f>
        <v>7.4427655798042822E-2</v>
      </c>
      <c r="AI13" s="4"/>
    </row>
    <row r="14" spans="1:35" s="239" customFormat="1" ht="32.25" thickBot="1">
      <c r="A14" s="211" t="s">
        <v>2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4"/>
      <c r="N14" s="222"/>
      <c r="O14" s="236">
        <f>SUM(O9:O13)</f>
        <v>48081901566</v>
      </c>
      <c r="P14" s="222"/>
      <c r="Q14" s="236">
        <f>SUM(Q9:Q13)</f>
        <v>47684305461</v>
      </c>
      <c r="R14" s="222"/>
      <c r="S14" s="237"/>
      <c r="T14" s="236">
        <f>SUM(T9:T13)</f>
        <v>0</v>
      </c>
      <c r="U14" s="222"/>
      <c r="V14" s="237"/>
      <c r="W14" s="236">
        <f>SUM(W9:W13)</f>
        <v>27538787808</v>
      </c>
      <c r="X14" s="222"/>
      <c r="Y14" s="237"/>
      <c r="Z14" s="222"/>
      <c r="AA14" s="222"/>
      <c r="AB14" s="222"/>
      <c r="AC14" s="236">
        <f>SUM(AC9:AC13)</f>
        <v>21017039979</v>
      </c>
      <c r="AD14" s="222"/>
      <c r="AE14" s="236">
        <f>SUM(AE9:AE13)</f>
        <v>22908296525</v>
      </c>
      <c r="AF14" s="222"/>
      <c r="AG14" s="238">
        <f>SUM(AG9:AG13)</f>
        <v>0.23474297194866439</v>
      </c>
    </row>
    <row r="15" spans="1:35" s="240" customFormat="1" ht="32.25" thickTop="1">
      <c r="M15" s="222"/>
      <c r="N15" s="222"/>
      <c r="P15" s="222"/>
      <c r="R15" s="222"/>
      <c r="S15" s="222"/>
      <c r="U15" s="222"/>
      <c r="V15" s="222"/>
      <c r="X15" s="222"/>
      <c r="Y15" s="222"/>
      <c r="Z15" s="222"/>
      <c r="AA15" s="222"/>
      <c r="AB15" s="222"/>
      <c r="AD15" s="222"/>
      <c r="AF15" s="222"/>
    </row>
    <row r="16" spans="1:35" s="4" customFormat="1" ht="30.75">
      <c r="W16" s="218"/>
      <c r="AC16" s="218"/>
      <c r="AE16" s="218"/>
    </row>
    <row r="17" spans="15:33" s="4" customFormat="1" ht="30.75"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G17" s="8"/>
    </row>
    <row r="18" spans="15:33" s="4" customFormat="1" ht="30.75"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G18" s="8"/>
    </row>
    <row r="19" spans="15:33" s="4" customFormat="1" ht="30.75">
      <c r="AC19" s="8"/>
      <c r="AG19" s="8"/>
    </row>
    <row r="20" spans="15:33" s="4" customFormat="1" ht="30.75">
      <c r="AC20" s="241"/>
      <c r="AG20" s="10"/>
    </row>
    <row r="21" spans="15:33" s="4" customFormat="1" ht="30.75"/>
    <row r="22" spans="15:33" s="4" customFormat="1" ht="30.75"/>
    <row r="23" spans="15:33" s="4" customFormat="1" ht="30.75"/>
    <row r="24" spans="15:33" s="4" customFormat="1" ht="30.75"/>
    <row r="25" spans="15:33" s="4" customFormat="1" ht="30.75"/>
    <row r="26" spans="15:33" s="4" customFormat="1" ht="30.75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C881-7777-464D-8E69-C2FA3CF54237}">
  <sheetPr>
    <pageSetUpPr fitToPage="1"/>
  </sheetPr>
  <dimension ref="A1:O15"/>
  <sheetViews>
    <sheetView rightToLeft="1" view="pageBreakPreview" zoomScaleNormal="100" zoomScaleSheetLayoutView="100" workbookViewId="0">
      <selection activeCell="A17" sqref="A17"/>
    </sheetView>
  </sheetViews>
  <sheetFormatPr defaultColWidth="9.140625" defaultRowHeight="22.5"/>
  <cols>
    <col min="1" max="1" width="37.28515625" customWidth="1"/>
    <col min="2" max="2" width="1" customWidth="1"/>
    <col min="3" max="3" width="17.85546875" customWidth="1"/>
    <col min="4" max="4" width="1.140625" customWidth="1"/>
    <col min="5" max="5" width="13.5703125" customWidth="1"/>
    <col min="6" max="6" width="1.140625" customWidth="1"/>
    <col min="7" max="7" width="13.5703125" bestFit="1" customWidth="1"/>
    <col min="8" max="8" width="1.140625" customWidth="1"/>
    <col min="9" max="9" width="10.5703125" bestFit="1" customWidth="1"/>
    <col min="10" max="10" width="0.85546875" customWidth="1"/>
    <col min="11" max="11" width="28.140625" customWidth="1"/>
    <col min="12" max="12" width="1.85546875" customWidth="1"/>
    <col min="13" max="13" width="86.7109375" customWidth="1"/>
    <col min="14" max="14" width="20.42578125" style="145" bestFit="1" customWidth="1"/>
    <col min="15" max="15" width="22.28515625" style="158" customWidth="1"/>
  </cols>
  <sheetData>
    <row r="1" spans="1:15" s="147" customFormat="1" ht="26.25">
      <c r="A1" s="281" t="s">
        <v>87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145"/>
      <c r="O1" s="146"/>
    </row>
    <row r="2" spans="1:15" s="147" customFormat="1" ht="23.25" customHeight="1">
      <c r="A2" s="281" t="s">
        <v>46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145"/>
      <c r="O2" s="146"/>
    </row>
    <row r="3" spans="1:15" s="147" customFormat="1" ht="24" customHeight="1">
      <c r="A3" s="281" t="str">
        <f>' سهام'!A3:W3</f>
        <v>برای ماه منتهی به 1403/03/31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145"/>
      <c r="O3" s="146"/>
    </row>
    <row r="5" spans="1:15" s="148" customFormat="1">
      <c r="A5" s="282" t="s">
        <v>134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145"/>
      <c r="O5" s="146"/>
    </row>
    <row r="6" spans="1:15" s="148" customFormat="1">
      <c r="A6" s="282" t="s">
        <v>135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145"/>
      <c r="O6" s="146"/>
    </row>
    <row r="7" spans="1:15" s="148" customFormat="1" ht="27" customHeight="1">
      <c r="N7" s="145"/>
      <c r="O7" s="146"/>
    </row>
    <row r="8" spans="1:15" s="148" customFormat="1">
      <c r="C8" s="279" t="str">
        <f>اوراق!Y6</f>
        <v>1403/03/31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145"/>
      <c r="O8" s="146"/>
    </row>
    <row r="9" spans="1:15" s="148" customFormat="1" ht="42">
      <c r="A9" s="149" t="s">
        <v>136</v>
      </c>
      <c r="C9" s="149" t="s">
        <v>137</v>
      </c>
      <c r="E9" s="150" t="s">
        <v>138</v>
      </c>
      <c r="G9" s="149" t="s">
        <v>139</v>
      </c>
      <c r="I9" s="149" t="s">
        <v>140</v>
      </c>
      <c r="K9" s="150" t="s">
        <v>141</v>
      </c>
      <c r="M9" s="149" t="s">
        <v>142</v>
      </c>
      <c r="N9" s="145"/>
      <c r="O9" s="151"/>
    </row>
    <row r="10" spans="1:15" ht="36.75" customHeight="1">
      <c r="A10" s="16"/>
      <c r="B10" s="152"/>
      <c r="C10" s="153"/>
      <c r="D10" s="154"/>
      <c r="E10" s="173"/>
      <c r="F10" s="155"/>
      <c r="G10" s="155"/>
      <c r="H10" s="152"/>
      <c r="I10" s="172"/>
      <c r="J10" s="152"/>
      <c r="K10" s="155">
        <f>IFERROR(VLOOKUP(A10,' سهام'!$A$10:$U$30,21,0),0)</f>
        <v>0</v>
      </c>
      <c r="L10" s="156"/>
      <c r="M10" s="162"/>
      <c r="N10" s="157"/>
    </row>
    <row r="11" spans="1:15" ht="23.25" thickBot="1">
      <c r="A11" s="159"/>
      <c r="B11" s="152"/>
      <c r="C11" s="160"/>
      <c r="D11" s="159"/>
      <c r="E11" s="161"/>
      <c r="F11" s="159"/>
      <c r="G11" s="161"/>
      <c r="H11" s="152"/>
      <c r="I11" s="152"/>
      <c r="J11" s="152"/>
      <c r="K11" s="161">
        <f>SUM(K10)</f>
        <v>0</v>
      </c>
      <c r="L11" s="152"/>
      <c r="M11" s="152"/>
    </row>
    <row r="12" spans="1:15" ht="23.25" thickTop="1"/>
    <row r="13" spans="1:15">
      <c r="C13" s="160"/>
      <c r="K13" s="160"/>
    </row>
    <row r="14" spans="1:15">
      <c r="C14" s="144"/>
    </row>
    <row r="15" spans="1:15">
      <c r="C15" s="160"/>
    </row>
  </sheetData>
  <autoFilter ref="A9:M9" xr:uid="{00000000-0009-0000-0000-000004000000}">
    <sortState xmlns:xlrd2="http://schemas.microsoft.com/office/spreadsheetml/2017/richdata2" ref="A10:P16">
      <sortCondition descending="1" ref="K9"/>
    </sortState>
  </autoFilter>
  <mergeCells count="6">
    <mergeCell ref="C8:M8"/>
    <mergeCell ref="A1:M1"/>
    <mergeCell ref="A2:M2"/>
    <mergeCell ref="A3:M3"/>
    <mergeCell ref="A5:M5"/>
    <mergeCell ref="A6:M6"/>
  </mergeCells>
  <printOptions horizontalCentered="1"/>
  <pageMargins left="0" right="0.28999999999999998" top="0.52" bottom="0" header="0.75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29"/>
  <sheetViews>
    <sheetView rightToLeft="1" view="pageBreakPreview" zoomScaleNormal="100" zoomScaleSheetLayoutView="100" workbookViewId="0">
      <selection activeCell="E21" sqref="E21"/>
    </sheetView>
  </sheetViews>
  <sheetFormatPr defaultColWidth="9.140625" defaultRowHeight="15"/>
  <cols>
    <col min="1" max="1" width="39.140625" style="242" bestFit="1" customWidth="1"/>
    <col min="2" max="2" width="0.7109375" style="242" customWidth="1"/>
    <col min="3" max="3" width="21.28515625" style="15" customWidth="1"/>
    <col min="4" max="4" width="0.7109375" style="242" customWidth="1"/>
    <col min="5" max="5" width="22.28515625" style="242" customWidth="1"/>
    <col min="6" max="6" width="0.42578125" style="242" customWidth="1"/>
    <col min="7" max="7" width="22.140625" style="242" customWidth="1"/>
    <col min="8" max="8" width="0.42578125" style="242" customWidth="1"/>
    <col min="9" max="9" width="18.42578125" style="242" customWidth="1"/>
    <col min="10" max="10" width="0.5703125" style="242" customWidth="1"/>
    <col min="11" max="11" width="12.140625" style="242" customWidth="1"/>
    <col min="12" max="16384" width="9.140625" style="242"/>
  </cols>
  <sheetData>
    <row r="1" spans="1:19" ht="18.75">
      <c r="A1" s="287" t="s">
        <v>87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9" ht="18.75">
      <c r="A2" s="287" t="s">
        <v>46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9" ht="18.75">
      <c r="A3" s="287" t="str">
        <f>' سهام'!A3:W3</f>
        <v>برای ماه منتهی به 1403/03/31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9" ht="18.75">
      <c r="A4" s="290" t="s">
        <v>47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9" ht="18.75" thickBot="1">
      <c r="A5" s="243"/>
      <c r="B5" s="243"/>
      <c r="C5" s="11"/>
      <c r="D5" s="244"/>
      <c r="E5" s="244"/>
      <c r="F5" s="244"/>
      <c r="G5" s="244"/>
      <c r="H5" s="244"/>
      <c r="I5" s="244"/>
      <c r="J5" s="244"/>
      <c r="K5" s="244"/>
    </row>
    <row r="6" spans="1:19" ht="18.75" customHeight="1" thickBot="1">
      <c r="A6" s="245"/>
      <c r="B6" s="243"/>
      <c r="C6" s="200" t="str">
        <f>اوراق!M6</f>
        <v>1403/02/31</v>
      </c>
      <c r="D6" s="246"/>
      <c r="E6" s="286" t="s">
        <v>7</v>
      </c>
      <c r="F6" s="286"/>
      <c r="G6" s="286"/>
      <c r="H6" s="243"/>
      <c r="I6" s="291" t="str">
        <f>اوراق!Y6</f>
        <v>1403/03/31</v>
      </c>
      <c r="J6" s="292"/>
      <c r="K6" s="292"/>
    </row>
    <row r="7" spans="1:19" ht="24" customHeight="1">
      <c r="A7" s="295" t="s">
        <v>8</v>
      </c>
      <c r="B7" s="247"/>
      <c r="C7" s="297" t="s">
        <v>6</v>
      </c>
      <c r="D7" s="247"/>
      <c r="E7" s="284" t="s">
        <v>31</v>
      </c>
      <c r="F7" s="248"/>
      <c r="G7" s="284" t="s">
        <v>32</v>
      </c>
      <c r="H7" s="243"/>
      <c r="I7" s="293" t="s">
        <v>6</v>
      </c>
      <c r="J7" s="295"/>
      <c r="K7" s="288" t="s">
        <v>19</v>
      </c>
    </row>
    <row r="8" spans="1:19" ht="18.75" thickBot="1">
      <c r="A8" s="296"/>
      <c r="B8" s="247"/>
      <c r="C8" s="298"/>
      <c r="D8" s="247"/>
      <c r="E8" s="285"/>
      <c r="F8" s="243"/>
      <c r="G8" s="285"/>
      <c r="H8" s="243"/>
      <c r="I8" s="294"/>
      <c r="J8" s="295"/>
      <c r="K8" s="289"/>
    </row>
    <row r="9" spans="1:19" s="243" customFormat="1" ht="18">
      <c r="A9" s="249" t="s">
        <v>96</v>
      </c>
      <c r="C9" s="12">
        <v>6611563</v>
      </c>
      <c r="D9" s="12"/>
      <c r="E9" s="12">
        <v>1163167960</v>
      </c>
      <c r="F9" s="12"/>
      <c r="G9" s="12">
        <v>1168253600</v>
      </c>
      <c r="H9" s="12"/>
      <c r="I9" s="12">
        <v>1525923</v>
      </c>
      <c r="K9" s="13">
        <f>I9/درآمدها!$J$5</f>
        <v>1.5636243384309076E-5</v>
      </c>
      <c r="L9" s="218"/>
      <c r="M9" s="250"/>
      <c r="N9" s="218"/>
      <c r="O9" s="250"/>
      <c r="P9" s="218"/>
      <c r="Q9" s="250"/>
      <c r="R9" s="218"/>
      <c r="S9" s="250"/>
    </row>
    <row r="10" spans="1:19" s="243" customFormat="1" ht="18">
      <c r="A10" s="249" t="s">
        <v>162</v>
      </c>
      <c r="C10" s="12">
        <v>3848097632</v>
      </c>
      <c r="D10" s="12"/>
      <c r="E10" s="12">
        <v>56830080027</v>
      </c>
      <c r="F10" s="12"/>
      <c r="G10" s="12">
        <v>60384638457</v>
      </c>
      <c r="H10" s="12"/>
      <c r="I10" s="12">
        <v>293539202</v>
      </c>
      <c r="K10" s="13">
        <f>I10/درآمدها!$J$5</f>
        <v>3.0079174409900532E-3</v>
      </c>
      <c r="L10" s="218"/>
      <c r="M10" s="250"/>
      <c r="N10" s="218"/>
      <c r="O10" s="250"/>
      <c r="P10" s="218"/>
      <c r="Q10" s="250"/>
      <c r="R10" s="218"/>
      <c r="S10" s="250"/>
    </row>
    <row r="11" spans="1:19" s="243" customFormat="1" ht="18.75" thickBot="1">
      <c r="A11" s="249" t="s">
        <v>151</v>
      </c>
      <c r="C11" s="12">
        <v>1370000000</v>
      </c>
      <c r="D11" s="12"/>
      <c r="E11" s="12">
        <v>0</v>
      </c>
      <c r="F11" s="12"/>
      <c r="G11" s="12">
        <v>1130000000</v>
      </c>
      <c r="H11" s="12"/>
      <c r="I11" s="12">
        <v>240000000</v>
      </c>
      <c r="K11" s="13">
        <f>I11/درآمدها!$J$5</f>
        <v>2.4592973644372474E-3</v>
      </c>
      <c r="L11" s="218"/>
      <c r="M11" s="250"/>
      <c r="N11" s="218"/>
      <c r="O11" s="250"/>
      <c r="P11" s="218"/>
      <c r="Q11" s="250"/>
      <c r="S11" s="250"/>
    </row>
    <row r="12" spans="1:19" s="243" customFormat="1" ht="24" customHeight="1" thickBot="1">
      <c r="A12" s="247" t="s">
        <v>2</v>
      </c>
      <c r="B12" s="247"/>
      <c r="C12" s="170">
        <f>SUM(C9:C11)</f>
        <v>5224709195</v>
      </c>
      <c r="E12" s="171">
        <f>SUM(E9:E11)</f>
        <v>57993247987</v>
      </c>
      <c r="G12" s="171">
        <f>SUM(G9:G11)</f>
        <v>62682892057</v>
      </c>
      <c r="I12" s="171">
        <f>SUM(I9:I11)</f>
        <v>535065125</v>
      </c>
      <c r="K12" s="14">
        <f>SUM(K9:K11)</f>
        <v>5.4828510488116097E-3</v>
      </c>
    </row>
    <row r="13" spans="1:19" ht="18.75" thickTop="1">
      <c r="D13" s="243"/>
      <c r="F13" s="243"/>
      <c r="H13" s="243"/>
      <c r="J13" s="243"/>
    </row>
    <row r="14" spans="1:19" ht="18">
      <c r="D14" s="243"/>
      <c r="F14" s="243"/>
      <c r="H14" s="243"/>
      <c r="J14" s="243"/>
    </row>
    <row r="15" spans="1:19" ht="18">
      <c r="C15" s="249"/>
      <c r="D15" s="249"/>
      <c r="E15" s="249"/>
      <c r="F15" s="249"/>
      <c r="G15" s="249"/>
      <c r="H15" s="249"/>
      <c r="I15" s="249"/>
      <c r="J15" s="249"/>
      <c r="K15" s="249"/>
      <c r="L15" s="249"/>
    </row>
    <row r="16" spans="1:19" ht="18">
      <c r="C16" s="251"/>
      <c r="D16" s="251"/>
      <c r="E16" s="251"/>
      <c r="F16" s="251"/>
      <c r="G16" s="251"/>
      <c r="H16" s="251"/>
      <c r="I16" s="251"/>
      <c r="J16" s="249"/>
      <c r="K16" s="249"/>
      <c r="L16" s="249"/>
    </row>
    <row r="17" spans="3:12" ht="18">
      <c r="C17" s="251"/>
      <c r="D17" s="249"/>
      <c r="E17" s="251"/>
      <c r="F17" s="249"/>
      <c r="G17" s="251"/>
      <c r="H17" s="249"/>
      <c r="I17" s="251"/>
      <c r="J17" s="249"/>
      <c r="K17" s="249"/>
      <c r="L17" s="249"/>
    </row>
    <row r="18" spans="3:12" ht="18">
      <c r="C18" s="251"/>
      <c r="D18" s="251"/>
      <c r="E18" s="251"/>
      <c r="F18" s="251"/>
      <c r="G18" s="251"/>
      <c r="H18" s="251"/>
      <c r="I18" s="251"/>
      <c r="J18" s="249"/>
      <c r="K18" s="249"/>
      <c r="L18" s="249"/>
    </row>
    <row r="19" spans="3:12" ht="18">
      <c r="C19" s="251"/>
      <c r="D19" s="251"/>
      <c r="E19" s="251"/>
      <c r="F19" s="251"/>
      <c r="G19" s="251"/>
      <c r="H19" s="251"/>
      <c r="I19" s="251"/>
      <c r="J19" s="249"/>
      <c r="K19" s="249"/>
      <c r="L19" s="249"/>
    </row>
    <row r="20" spans="3:12" ht="18">
      <c r="C20" s="251"/>
      <c r="D20" s="251"/>
      <c r="E20" s="251"/>
      <c r="F20" s="251"/>
      <c r="G20" s="251"/>
      <c r="H20" s="251"/>
      <c r="I20" s="251"/>
      <c r="J20" s="249"/>
      <c r="K20" s="249"/>
      <c r="L20" s="249"/>
    </row>
    <row r="21" spans="3:12" ht="18">
      <c r="C21" s="251"/>
      <c r="D21" s="251"/>
      <c r="E21" s="251"/>
      <c r="F21" s="251"/>
      <c r="G21" s="251"/>
      <c r="H21" s="251"/>
      <c r="I21" s="251"/>
      <c r="J21" s="249"/>
      <c r="K21" s="249"/>
      <c r="L21" s="249"/>
    </row>
    <row r="22" spans="3:12" ht="18">
      <c r="C22" s="251"/>
      <c r="D22" s="251"/>
      <c r="E22" s="251"/>
      <c r="F22" s="251"/>
      <c r="G22" s="251"/>
      <c r="H22" s="251"/>
      <c r="I22" s="251"/>
      <c r="J22" s="249"/>
      <c r="K22" s="249"/>
      <c r="L22" s="249"/>
    </row>
    <row r="23" spans="3:12" ht="18">
      <c r="C23" s="251"/>
      <c r="D23" s="251"/>
      <c r="E23" s="251"/>
      <c r="F23" s="251"/>
      <c r="G23" s="251"/>
      <c r="H23" s="251"/>
      <c r="I23" s="251"/>
      <c r="J23" s="249"/>
      <c r="K23" s="249"/>
      <c r="L23" s="249"/>
    </row>
    <row r="24" spans="3:12" ht="18">
      <c r="C24" s="251"/>
      <c r="D24" s="251"/>
      <c r="E24" s="251"/>
      <c r="F24" s="251"/>
      <c r="G24" s="251"/>
      <c r="H24" s="251"/>
      <c r="I24" s="251"/>
      <c r="J24" s="249"/>
      <c r="K24" s="249"/>
      <c r="L24" s="249"/>
    </row>
    <row r="25" spans="3:12" ht="18">
      <c r="C25" s="251"/>
      <c r="D25" s="251"/>
      <c r="E25" s="251"/>
      <c r="F25" s="251"/>
      <c r="G25" s="251"/>
      <c r="H25" s="251"/>
      <c r="I25" s="251"/>
      <c r="J25" s="249"/>
      <c r="K25" s="249"/>
      <c r="L25" s="249"/>
    </row>
    <row r="26" spans="3:12" ht="18">
      <c r="C26" s="251"/>
      <c r="D26" s="251"/>
      <c r="E26" s="251"/>
      <c r="F26" s="251"/>
      <c r="G26" s="251"/>
      <c r="H26" s="251"/>
      <c r="I26" s="251"/>
      <c r="J26" s="249"/>
      <c r="K26" s="249"/>
      <c r="L26" s="249"/>
    </row>
    <row r="27" spans="3:12" ht="18">
      <c r="C27" s="249"/>
      <c r="D27" s="249"/>
      <c r="E27" s="249"/>
      <c r="F27" s="249"/>
      <c r="G27" s="249"/>
      <c r="H27" s="249"/>
      <c r="I27" s="249"/>
      <c r="J27" s="249"/>
      <c r="K27" s="249"/>
      <c r="L27" s="249"/>
    </row>
    <row r="28" spans="3:12" ht="18">
      <c r="C28" s="249"/>
      <c r="D28" s="249"/>
      <c r="E28" s="249"/>
      <c r="F28" s="249"/>
      <c r="G28" s="249"/>
      <c r="H28" s="249"/>
      <c r="I28" s="249"/>
      <c r="J28" s="249"/>
      <c r="K28" s="249"/>
      <c r="L28" s="249"/>
    </row>
    <row r="29" spans="3:12" ht="18">
      <c r="C29" s="249"/>
      <c r="D29" s="249"/>
      <c r="E29" s="249"/>
      <c r="F29" s="249"/>
      <c r="G29" s="249"/>
      <c r="H29" s="249"/>
      <c r="I29" s="249"/>
      <c r="J29" s="249"/>
      <c r="K29" s="249"/>
      <c r="L29" s="249"/>
    </row>
  </sheetData>
  <autoFilter ref="A8:K8" xr:uid="{00000000-0009-0000-0000-000003000000}">
    <sortState xmlns:xlrd2="http://schemas.microsoft.com/office/spreadsheetml/2017/richdata2" ref="A10:K11">
      <sortCondition descending="1" ref="I8"/>
    </sortState>
  </autoFilter>
  <mergeCells count="13">
    <mergeCell ref="G7:G8"/>
    <mergeCell ref="E6:G6"/>
    <mergeCell ref="A1:K1"/>
    <mergeCell ref="A2:K2"/>
    <mergeCell ref="A3:K3"/>
    <mergeCell ref="K7:K8"/>
    <mergeCell ref="A4:K4"/>
    <mergeCell ref="I6:K6"/>
    <mergeCell ref="I7:I8"/>
    <mergeCell ref="J7:J8"/>
    <mergeCell ref="A7:A8"/>
    <mergeCell ref="C7:C8"/>
    <mergeCell ref="E7:E8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E16" sqref="E16"/>
    </sheetView>
  </sheetViews>
  <sheetFormatPr defaultColWidth="9.140625" defaultRowHeight="18"/>
  <cols>
    <col min="1" max="1" width="65.7109375" style="139" customWidth="1"/>
    <col min="2" max="2" width="1" style="139" customWidth="1"/>
    <col min="3" max="3" width="9.140625" style="17"/>
    <col min="4" max="4" width="1.140625" style="17" customWidth="1"/>
    <col min="5" max="5" width="25.42578125" style="17" bestFit="1" customWidth="1"/>
    <col min="6" max="6" width="1" style="17" customWidth="1"/>
    <col min="7" max="7" width="19.7109375" style="17" customWidth="1"/>
    <col min="8" max="8" width="0.42578125" style="17" customWidth="1"/>
    <col min="9" max="9" width="24.5703125" style="17" customWidth="1"/>
    <col min="10" max="10" width="23.42578125" style="140" bestFit="1" customWidth="1"/>
    <col min="11" max="11" width="17.7109375" style="140" bestFit="1" customWidth="1"/>
    <col min="12" max="12" width="14.28515625" style="17" bestFit="1" customWidth="1"/>
    <col min="13" max="13" width="12.5703125" style="17" bestFit="1" customWidth="1"/>
    <col min="14" max="14" width="9.5703125" style="17" bestFit="1" customWidth="1"/>
    <col min="15" max="16384" width="9.140625" style="17"/>
  </cols>
  <sheetData>
    <row r="1" spans="1:14" ht="21">
      <c r="A1" s="300" t="s">
        <v>87</v>
      </c>
      <c r="B1" s="300"/>
      <c r="C1" s="300"/>
      <c r="D1" s="300"/>
      <c r="E1" s="300"/>
      <c r="F1" s="300"/>
      <c r="G1" s="300"/>
      <c r="H1" s="300"/>
      <c r="I1" s="300"/>
      <c r="J1" s="127"/>
      <c r="K1" s="127"/>
    </row>
    <row r="2" spans="1:14" ht="21">
      <c r="A2" s="300" t="s">
        <v>46</v>
      </c>
      <c r="B2" s="300"/>
      <c r="C2" s="300"/>
      <c r="D2" s="300"/>
      <c r="E2" s="300"/>
      <c r="F2" s="300"/>
      <c r="G2" s="300"/>
      <c r="H2" s="300"/>
      <c r="I2" s="300"/>
      <c r="J2" s="127"/>
      <c r="K2" s="127"/>
    </row>
    <row r="3" spans="1:14" ht="21.75" thickBot="1">
      <c r="A3" s="300" t="str">
        <f>سپرده!A3</f>
        <v>برای ماه منتهی به 1403/03/31</v>
      </c>
      <c r="B3" s="300"/>
      <c r="C3" s="300"/>
      <c r="D3" s="300"/>
      <c r="E3" s="300"/>
      <c r="F3" s="300"/>
      <c r="G3" s="300"/>
      <c r="H3" s="300"/>
      <c r="I3" s="300"/>
      <c r="J3" s="127"/>
      <c r="K3" s="127"/>
    </row>
    <row r="4" spans="1:14" ht="21.75" thickBot="1">
      <c r="A4" s="128" t="s">
        <v>24</v>
      </c>
      <c r="B4" s="129"/>
      <c r="C4" s="129"/>
      <c r="D4" s="129"/>
      <c r="E4" s="129"/>
      <c r="F4" s="129"/>
      <c r="G4" s="129"/>
      <c r="H4" s="129"/>
      <c r="I4" s="129"/>
      <c r="J4" s="130">
        <v>13767448852</v>
      </c>
      <c r="K4" s="131" t="s">
        <v>85</v>
      </c>
    </row>
    <row r="5" spans="1:14" ht="21.75" customHeight="1" thickBot="1">
      <c r="A5" s="128"/>
      <c r="B5" s="128"/>
      <c r="C5" s="128"/>
      <c r="D5" s="128"/>
      <c r="E5" s="299" t="str">
        <f>اوراق!Y6</f>
        <v>1403/03/31</v>
      </c>
      <c r="F5" s="299"/>
      <c r="G5" s="299"/>
      <c r="H5" s="299"/>
      <c r="I5" s="299"/>
      <c r="J5" s="130">
        <v>97588849348</v>
      </c>
      <c r="K5" s="131" t="s">
        <v>84</v>
      </c>
    </row>
    <row r="6" spans="1:14" ht="21.75" customHeight="1" thickBot="1">
      <c r="A6" s="132" t="s">
        <v>33</v>
      </c>
      <c r="B6" s="133"/>
      <c r="C6" s="68" t="s">
        <v>34</v>
      </c>
      <c r="D6" s="134"/>
      <c r="E6" s="68" t="s">
        <v>6</v>
      </c>
      <c r="F6" s="134"/>
      <c r="G6" s="68" t="s">
        <v>16</v>
      </c>
      <c r="H6" s="134"/>
      <c r="I6" s="68" t="s">
        <v>83</v>
      </c>
      <c r="J6" s="135"/>
      <c r="K6" s="135"/>
    </row>
    <row r="7" spans="1:14" ht="21" customHeight="1">
      <c r="A7" s="69" t="s">
        <v>97</v>
      </c>
      <c r="B7" s="69"/>
      <c r="C7" s="136" t="s">
        <v>48</v>
      </c>
      <c r="D7" s="129"/>
      <c r="E7" s="205">
        <f>'درآمد سرمایه گذاری در سهام '!S39</f>
        <v>9290051810</v>
      </c>
      <c r="F7" s="142"/>
      <c r="G7" s="206">
        <f>E7/$E$11</f>
        <v>0.90746533808436258</v>
      </c>
      <c r="H7" s="141"/>
      <c r="I7" s="206">
        <f>E7/$J$5</f>
        <v>9.5195833049243672E-2</v>
      </c>
      <c r="J7" s="135"/>
      <c r="K7" s="135"/>
    </row>
    <row r="8" spans="1:14" ht="18.75" customHeight="1">
      <c r="A8" s="69" t="s">
        <v>43</v>
      </c>
      <c r="B8" s="69"/>
      <c r="C8" s="136" t="s">
        <v>49</v>
      </c>
      <c r="D8" s="129"/>
      <c r="E8" s="205">
        <f>'درآمد سرمایه گذاری در اوراق بها'!O15</f>
        <v>612216607</v>
      </c>
      <c r="F8" s="142"/>
      <c r="G8" s="206">
        <f t="shared" ref="G8:G9" si="0">E8/$E$11</f>
        <v>5.9802179967833387E-2</v>
      </c>
      <c r="H8" s="141"/>
      <c r="I8" s="206">
        <f>E8/$J$5</f>
        <v>6.2734278669158922E-3</v>
      </c>
      <c r="J8" s="135"/>
      <c r="K8" s="135"/>
      <c r="L8" s="135"/>
      <c r="N8" s="137"/>
    </row>
    <row r="9" spans="1:14" ht="18.75" customHeight="1">
      <c r="A9" s="69" t="s">
        <v>44</v>
      </c>
      <c r="B9" s="69"/>
      <c r="C9" s="136" t="s">
        <v>50</v>
      </c>
      <c r="D9" s="129"/>
      <c r="E9" s="205">
        <f>'درآمد سپرده بانکی'!G11</f>
        <v>300166483</v>
      </c>
      <c r="F9" s="142"/>
      <c r="G9" s="206">
        <f t="shared" si="0"/>
        <v>2.9320684593382162E-2</v>
      </c>
      <c r="H9" s="141"/>
      <c r="I9" s="206">
        <f t="shared" ref="I9:I10" si="1">E9/$J$5</f>
        <v>3.0758276688929078E-3</v>
      </c>
      <c r="J9" s="135"/>
      <c r="K9" s="135"/>
      <c r="N9" s="137"/>
    </row>
    <row r="10" spans="1:14" ht="19.5" customHeight="1" thickBot="1">
      <c r="A10" s="69" t="s">
        <v>29</v>
      </c>
      <c r="B10" s="69"/>
      <c r="C10" s="136" t="s">
        <v>51</v>
      </c>
      <c r="D10" s="129"/>
      <c r="E10" s="205">
        <f>'سایر درآمدها'!E11</f>
        <v>34927807</v>
      </c>
      <c r="F10" s="142"/>
      <c r="G10" s="206">
        <f>E10/$E$11</f>
        <v>3.4117973544218979E-3</v>
      </c>
      <c r="H10" s="141"/>
      <c r="I10" s="206">
        <f t="shared" si="1"/>
        <v>3.5790776541947018E-4</v>
      </c>
      <c r="J10" s="135"/>
      <c r="K10" s="135"/>
      <c r="N10" s="137"/>
    </row>
    <row r="11" spans="1:14" ht="19.5" customHeight="1" thickBot="1">
      <c r="A11" s="69" t="s">
        <v>2</v>
      </c>
      <c r="B11" s="138"/>
      <c r="C11" s="22"/>
      <c r="D11" s="22"/>
      <c r="E11" s="209">
        <f>SUM(E7:E10)</f>
        <v>10237362707</v>
      </c>
      <c r="F11" s="143"/>
      <c r="G11" s="207">
        <f>SUM(G7:G10)</f>
        <v>1</v>
      </c>
      <c r="H11" s="141"/>
      <c r="I11" s="208">
        <f>SUM(I7:I10)</f>
        <v>0.10490299635047194</v>
      </c>
      <c r="J11" s="135"/>
      <c r="K11" s="135"/>
    </row>
    <row r="12" spans="1:14" ht="18.75" customHeight="1" thickTop="1">
      <c r="J12" s="135"/>
      <c r="K12" s="135"/>
    </row>
    <row r="13" spans="1:14" ht="18" customHeight="1">
      <c r="E13" s="18"/>
      <c r="F13" s="18"/>
      <c r="G13" s="18"/>
      <c r="J13" s="135"/>
      <c r="K13" s="135"/>
    </row>
    <row r="14" spans="1:14" ht="18" customHeight="1">
      <c r="E14" s="18"/>
      <c r="F14" s="18"/>
      <c r="G14" s="18"/>
      <c r="J14" s="135"/>
      <c r="K14" s="135"/>
    </row>
    <row r="15" spans="1:14" ht="18" customHeight="1">
      <c r="E15" s="18"/>
      <c r="F15" s="18"/>
      <c r="G15" s="18"/>
      <c r="J15" s="135"/>
      <c r="K15" s="135"/>
    </row>
    <row r="16" spans="1:14" ht="18" customHeight="1">
      <c r="E16" s="18"/>
      <c r="F16" s="18"/>
      <c r="G16" s="18"/>
      <c r="J16" s="135"/>
      <c r="K16" s="135"/>
    </row>
    <row r="17" spans="1:11" ht="17.45" customHeight="1">
      <c r="E17" s="18"/>
      <c r="F17" s="18"/>
      <c r="G17" s="18"/>
      <c r="J17" s="135"/>
      <c r="K17" s="135"/>
    </row>
    <row r="18" spans="1:11" ht="17.45" customHeight="1">
      <c r="E18" s="18"/>
      <c r="F18" s="18"/>
      <c r="G18" s="18"/>
    </row>
    <row r="19" spans="1:11" ht="17.45" customHeight="1"/>
    <row r="21" spans="1:11">
      <c r="A21" s="139" t="s">
        <v>55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  <pageSetUpPr fitToPage="1"/>
  </sheetPr>
  <dimension ref="A1:X49"/>
  <sheetViews>
    <sheetView rightToLeft="1" view="pageBreakPreview" zoomScale="55" zoomScaleNormal="100" zoomScaleSheetLayoutView="55" workbookViewId="0">
      <selection activeCell="I53" sqref="I53"/>
    </sheetView>
  </sheetViews>
  <sheetFormatPr defaultColWidth="9.140625" defaultRowHeight="15"/>
  <cols>
    <col min="1" max="1" width="53.140625" style="86" bestFit="1" customWidth="1"/>
    <col min="2" max="2" width="1.28515625" style="86" customWidth="1"/>
    <col min="3" max="3" width="26.5703125" style="39" customWidth="1"/>
    <col min="4" max="4" width="1" style="86" customWidth="1"/>
    <col min="5" max="5" width="28.42578125" style="40" customWidth="1"/>
    <col min="6" max="6" width="1.42578125" style="40" customWidth="1"/>
    <col min="7" max="7" width="26.5703125" style="40" customWidth="1"/>
    <col min="8" max="8" width="1" style="99" customWidth="1"/>
    <col min="9" max="9" width="28.42578125" style="99" customWidth="1"/>
    <col min="10" max="10" width="2" style="99" customWidth="1"/>
    <col min="11" max="11" width="28.5703125" style="100" customWidth="1"/>
    <col min="12" max="12" width="1.5703125" style="86" customWidth="1"/>
    <col min="13" max="13" width="28.42578125" style="39" bestFit="1" customWidth="1"/>
    <col min="14" max="14" width="0.85546875" style="39" customWidth="1"/>
    <col min="15" max="15" width="28.42578125" style="40" bestFit="1" customWidth="1"/>
    <col min="16" max="16" width="0.85546875" style="40" customWidth="1"/>
    <col min="17" max="17" width="28.42578125" style="40" bestFit="1" customWidth="1"/>
    <col min="18" max="18" width="0.85546875" style="40" customWidth="1"/>
    <col min="19" max="19" width="27.140625" style="40" customWidth="1"/>
    <col min="20" max="20" width="1.42578125" style="40" customWidth="1"/>
    <col min="21" max="21" width="29.85546875" style="100" customWidth="1"/>
    <col min="22" max="22" width="9.140625" style="86"/>
    <col min="23" max="23" width="22.42578125" style="86" bestFit="1" customWidth="1"/>
    <col min="24" max="24" width="9.140625" style="86"/>
    <col min="25" max="25" width="18.85546875" style="86" bestFit="1" customWidth="1"/>
    <col min="26" max="16384" width="9.140625" style="86"/>
  </cols>
  <sheetData>
    <row r="1" spans="1:24" ht="27.75">
      <c r="A1" s="301" t="s">
        <v>87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</row>
    <row r="2" spans="1:24" ht="27.75">
      <c r="A2" s="301" t="s">
        <v>52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</row>
    <row r="3" spans="1:24" ht="27.75">
      <c r="A3" s="301" t="str">
        <f>' سهام'!A3:W3</f>
        <v>برای ماه منتهی به 1403/03/31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</row>
    <row r="5" spans="1:24" s="87" customFormat="1" ht="24.75">
      <c r="A5" s="314" t="s">
        <v>25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</row>
    <row r="6" spans="1:24" s="87" customFormat="1" ht="9.75" customHeight="1">
      <c r="C6" s="32"/>
      <c r="E6" s="35"/>
      <c r="F6" s="35"/>
      <c r="G6" s="35"/>
      <c r="H6" s="88"/>
      <c r="I6" s="88"/>
      <c r="J6" s="88"/>
      <c r="K6" s="89"/>
      <c r="M6" s="32"/>
      <c r="N6" s="32"/>
      <c r="O6" s="35"/>
      <c r="P6" s="35"/>
      <c r="Q6" s="35"/>
      <c r="R6" s="35"/>
      <c r="S6" s="35"/>
      <c r="T6" s="35"/>
      <c r="U6" s="89"/>
    </row>
    <row r="7" spans="1:24" s="87" customFormat="1" ht="27" customHeight="1" thickBot="1">
      <c r="A7" s="90"/>
      <c r="B7" s="91"/>
      <c r="C7" s="301" t="s">
        <v>147</v>
      </c>
      <c r="D7" s="301"/>
      <c r="E7" s="301"/>
      <c r="F7" s="301"/>
      <c r="G7" s="301"/>
      <c r="H7" s="301"/>
      <c r="I7" s="301"/>
      <c r="J7" s="301"/>
      <c r="K7" s="301"/>
      <c r="L7" s="91"/>
      <c r="M7" s="301" t="s">
        <v>148</v>
      </c>
      <c r="N7" s="301"/>
      <c r="O7" s="301"/>
      <c r="P7" s="301"/>
      <c r="Q7" s="301"/>
      <c r="R7" s="301"/>
      <c r="S7" s="301"/>
      <c r="T7" s="301"/>
      <c r="U7" s="301"/>
    </row>
    <row r="8" spans="1:24" s="75" customFormat="1" ht="24.75" customHeight="1">
      <c r="A8" s="302" t="s">
        <v>21</v>
      </c>
      <c r="B8" s="302"/>
      <c r="C8" s="308" t="s">
        <v>9</v>
      </c>
      <c r="D8" s="304"/>
      <c r="E8" s="310" t="s">
        <v>10</v>
      </c>
      <c r="F8" s="305"/>
      <c r="G8" s="310" t="s">
        <v>11</v>
      </c>
      <c r="H8" s="318"/>
      <c r="I8" s="312" t="s">
        <v>2</v>
      </c>
      <c r="J8" s="312"/>
      <c r="K8" s="312"/>
      <c r="L8" s="302"/>
      <c r="M8" s="308" t="s">
        <v>9</v>
      </c>
      <c r="N8" s="315"/>
      <c r="O8" s="310" t="s">
        <v>10</v>
      </c>
      <c r="P8" s="305"/>
      <c r="Q8" s="310" t="s">
        <v>11</v>
      </c>
      <c r="R8" s="305"/>
      <c r="S8" s="312" t="s">
        <v>2</v>
      </c>
      <c r="T8" s="312"/>
      <c r="U8" s="312"/>
    </row>
    <row r="9" spans="1:24" s="75" customFormat="1" ht="6" customHeight="1" thickBot="1">
      <c r="A9" s="302"/>
      <c r="B9" s="302"/>
      <c r="C9" s="309"/>
      <c r="D9" s="302"/>
      <c r="E9" s="311"/>
      <c r="F9" s="306"/>
      <c r="G9" s="311"/>
      <c r="H9" s="319"/>
      <c r="I9" s="313"/>
      <c r="J9" s="313"/>
      <c r="K9" s="313"/>
      <c r="L9" s="302"/>
      <c r="M9" s="309"/>
      <c r="N9" s="316"/>
      <c r="O9" s="311"/>
      <c r="P9" s="306"/>
      <c r="Q9" s="311"/>
      <c r="R9" s="306"/>
      <c r="S9" s="313"/>
      <c r="T9" s="313"/>
      <c r="U9" s="313"/>
    </row>
    <row r="10" spans="1:24" s="75" customFormat="1" ht="42.75" customHeight="1" thickBot="1">
      <c r="A10" s="303"/>
      <c r="B10" s="302"/>
      <c r="C10" s="36" t="s">
        <v>56</v>
      </c>
      <c r="D10" s="302"/>
      <c r="E10" s="37" t="s">
        <v>57</v>
      </c>
      <c r="F10" s="307"/>
      <c r="G10" s="37" t="s">
        <v>58</v>
      </c>
      <c r="H10" s="319"/>
      <c r="I10" s="92" t="s">
        <v>6</v>
      </c>
      <c r="J10" s="92"/>
      <c r="K10" s="93" t="s">
        <v>16</v>
      </c>
      <c r="L10" s="302"/>
      <c r="M10" s="36" t="s">
        <v>56</v>
      </c>
      <c r="N10" s="317"/>
      <c r="O10" s="37" t="s">
        <v>57</v>
      </c>
      <c r="P10" s="307"/>
      <c r="Q10" s="37" t="s">
        <v>58</v>
      </c>
      <c r="R10" s="307"/>
      <c r="S10" s="38" t="s">
        <v>6</v>
      </c>
      <c r="T10" s="38"/>
      <c r="U10" s="93" t="s">
        <v>16</v>
      </c>
    </row>
    <row r="11" spans="1:24" s="57" customFormat="1" ht="30.75">
      <c r="A11" s="94" t="s">
        <v>149</v>
      </c>
      <c r="C11" s="4">
        <f>IFERROR(VLOOKUP(A11,'درآمد سود سهام'!$A$8:$S$100,13,0),0)</f>
        <v>0</v>
      </c>
      <c r="D11" s="4"/>
      <c r="E11" s="4">
        <f>IFERROR(VLOOKUP(A11,'درآمد ناشی از تغییر قیمت  '!$A$7:$Q$107,9,0),0)</f>
        <v>-72937863</v>
      </c>
      <c r="F11" s="4"/>
      <c r="G11" s="4">
        <f>IFERROR(VLOOKUP(A11,'درآمد ناشی ازفروش'!$A$7:$I$111,9,0),0)</f>
        <v>0</v>
      </c>
      <c r="H11" s="4"/>
      <c r="I11" s="4">
        <f t="shared" ref="I11:I38" si="0">G11+E11+C11</f>
        <v>-72937863</v>
      </c>
      <c r="K11" s="182">
        <f>I11/-1549458624</f>
        <v>4.707312726538479E-2</v>
      </c>
      <c r="M11" s="4">
        <f>IFERROR(VLOOKUP(A11,'درآمد سود سهام'!$A$8:$S$100,19,0),0)</f>
        <v>0</v>
      </c>
      <c r="N11" s="4"/>
      <c r="O11" s="4">
        <f>IFERROR(VLOOKUP(A11,'درآمد ناشی از تغییر قیمت  '!$A$7:$Q$107,17,0),0)</f>
        <v>-228688805</v>
      </c>
      <c r="P11" s="4"/>
      <c r="Q11" s="4">
        <f>IFERROR(VLOOKUP(A11,'درآمد ناشی ازفروش'!$A$7:$Q$111,17,0),0)</f>
        <v>-7143129</v>
      </c>
      <c r="R11" s="4"/>
      <c r="S11" s="4">
        <f>Q11+O11+M11</f>
        <v>-235831934</v>
      </c>
      <c r="T11" s="58"/>
      <c r="U11" s="54">
        <f>S11/درآمدها!$J$4</f>
        <v>-1.7129675696288541E-2</v>
      </c>
      <c r="V11" s="59"/>
      <c r="W11" s="59"/>
      <c r="X11" s="59"/>
    </row>
    <row r="12" spans="1:24" s="57" customFormat="1" ht="30.75">
      <c r="A12" s="94" t="s">
        <v>89</v>
      </c>
      <c r="C12" s="4">
        <f>IFERROR(VLOOKUP(A12,'درآمد سود سهام'!$A$8:$S$100,13,0),0)</f>
        <v>0</v>
      </c>
      <c r="D12" s="4"/>
      <c r="E12" s="4">
        <f>IFERROR(VLOOKUP(A12,'درآمد ناشی از تغییر قیمت  '!$A$7:$Q$107,9,0),0)</f>
        <v>0</v>
      </c>
      <c r="F12" s="4"/>
      <c r="G12" s="4">
        <f>IFERROR(VLOOKUP(A12,'درآمد ناشی ازفروش'!$A$7:$I$111,9,0),0)</f>
        <v>0</v>
      </c>
      <c r="H12" s="4"/>
      <c r="I12" s="4">
        <f t="shared" si="0"/>
        <v>0</v>
      </c>
      <c r="K12" s="182">
        <f t="shared" ref="K12:K38" si="1">I12/-1549458624</f>
        <v>0</v>
      </c>
      <c r="M12" s="4">
        <f>IFERROR(VLOOKUP(A12,'درآمد سود سهام'!$A$8:$S$100,19,0),0)</f>
        <v>0</v>
      </c>
      <c r="N12" s="4"/>
      <c r="O12" s="4">
        <f>IFERROR(VLOOKUP(A12,'درآمد ناشی از تغییر قیمت  '!$A$7:$Q$107,17,0),0)</f>
        <v>0</v>
      </c>
      <c r="P12" s="4"/>
      <c r="Q12" s="4">
        <f>IFERROR(VLOOKUP(A12,'درآمد ناشی ازفروش'!$A$7:$Q$111,17,0),0)</f>
        <v>1167277212</v>
      </c>
      <c r="R12" s="4"/>
      <c r="S12" s="4">
        <f t="shared" ref="S12:S21" si="2">Q12+O12+M12</f>
        <v>1167277212</v>
      </c>
      <c r="T12" s="58"/>
      <c r="U12" s="54">
        <f>S12/درآمدها!$J$4</f>
        <v>8.4785294977175782E-2</v>
      </c>
      <c r="V12" s="59"/>
      <c r="W12" s="59"/>
      <c r="X12" s="59"/>
    </row>
    <row r="13" spans="1:24" s="57" customFormat="1" ht="30.75">
      <c r="A13" s="94" t="s">
        <v>127</v>
      </c>
      <c r="C13" s="4">
        <f>IFERROR(VLOOKUP(A13,'درآمد سود سهام'!$A$8:$S$100,13,0),0)</f>
        <v>120039100</v>
      </c>
      <c r="D13" s="4"/>
      <c r="E13" s="4">
        <f>IFERROR(VLOOKUP(A13,'درآمد ناشی از تغییر قیمت  '!$A$7:$Q$107,9,0),0)</f>
        <v>-206399771</v>
      </c>
      <c r="F13" s="4"/>
      <c r="G13" s="4">
        <f>IFERROR(VLOOKUP(A13,'درآمد ناشی ازفروش'!$A$7:$I$111,9,0),0)</f>
        <v>0</v>
      </c>
      <c r="H13" s="4"/>
      <c r="I13" s="4">
        <f t="shared" si="0"/>
        <v>-86360671</v>
      </c>
      <c r="K13" s="182">
        <f t="shared" si="1"/>
        <v>5.5736029128067896E-2</v>
      </c>
      <c r="M13" s="4">
        <f>IFERROR(VLOOKUP(A13,'درآمد سود سهام'!$A$8:$S$100,19,0),0)</f>
        <v>120039100</v>
      </c>
      <c r="N13" s="4"/>
      <c r="O13" s="4">
        <f>IFERROR(VLOOKUP(A13,'درآمد ناشی از تغییر قیمت  '!$A$7:$Q$107,17,0),0)</f>
        <v>146752715</v>
      </c>
      <c r="P13" s="4"/>
      <c r="Q13" s="4">
        <f>IFERROR(VLOOKUP(A13,'درآمد ناشی ازفروش'!$A$7:$Q$111,17,0),0)</f>
        <v>30407738</v>
      </c>
      <c r="R13" s="4"/>
      <c r="S13" s="4">
        <f t="shared" si="2"/>
        <v>297199553</v>
      </c>
      <c r="T13" s="58"/>
      <c r="U13" s="54">
        <f>S13/درآمدها!$J$4</f>
        <v>2.1587118731646916E-2</v>
      </c>
      <c r="V13" s="59"/>
      <c r="W13" s="59"/>
      <c r="X13" s="59"/>
    </row>
    <row r="14" spans="1:24" s="57" customFormat="1" ht="30.75">
      <c r="A14" s="94" t="s">
        <v>99</v>
      </c>
      <c r="C14" s="4">
        <f>IFERROR(VLOOKUP(A14,'درآمد سود سهام'!$A$8:$S$100,13,0),0)</f>
        <v>0</v>
      </c>
      <c r="D14" s="4"/>
      <c r="E14" s="4">
        <f>IFERROR(VLOOKUP(A14,'درآمد ناشی از تغییر قیمت  '!$A$7:$Q$107,9,0),0)</f>
        <v>24404345</v>
      </c>
      <c r="F14" s="4"/>
      <c r="G14" s="4">
        <f>IFERROR(VLOOKUP(A14,'درآمد ناشی ازفروش'!$A$7:$I$111,9,0),0)</f>
        <v>-23528386</v>
      </c>
      <c r="H14" s="4"/>
      <c r="I14" s="4">
        <f t="shared" si="0"/>
        <v>875959</v>
      </c>
      <c r="K14" s="182">
        <f t="shared" si="1"/>
        <v>-5.653322950558504E-4</v>
      </c>
      <c r="M14" s="4">
        <f>IFERROR(VLOOKUP(A14,'درآمد سود سهام'!$A$8:$S$100,19,0),0)</f>
        <v>245526400</v>
      </c>
      <c r="N14" s="4"/>
      <c r="O14" s="4">
        <f>IFERROR(VLOOKUP(A14,'درآمد ناشی از تغییر قیمت  '!$A$7:$Q$107,17,0),0)</f>
        <v>-36432759</v>
      </c>
      <c r="P14" s="4"/>
      <c r="Q14" s="4">
        <f>IFERROR(VLOOKUP(A14,'درآمد ناشی ازفروش'!$A$7:$Q$111,17,0),0)</f>
        <v>80731059</v>
      </c>
      <c r="R14" s="4"/>
      <c r="S14" s="4">
        <f t="shared" si="2"/>
        <v>289824700</v>
      </c>
      <c r="T14" s="58"/>
      <c r="U14" s="54">
        <f>S14/درآمدها!$J$4</f>
        <v>2.1051445559421643E-2</v>
      </c>
      <c r="V14" s="59"/>
      <c r="W14" s="59"/>
      <c r="X14" s="59"/>
    </row>
    <row r="15" spans="1:24" s="57" customFormat="1" ht="30.75">
      <c r="A15" s="94" t="s">
        <v>105</v>
      </c>
      <c r="C15" s="4">
        <f>IFERROR(VLOOKUP(A15,'درآمد سود سهام'!$A$8:$S$100,13,0),0)</f>
        <v>0</v>
      </c>
      <c r="D15" s="4"/>
      <c r="E15" s="4">
        <f>IFERROR(VLOOKUP(A15,'درآمد ناشی از تغییر قیمت  '!$A$7:$Q$107,9,0),0)</f>
        <v>16539302</v>
      </c>
      <c r="F15" s="4"/>
      <c r="G15" s="4">
        <f>IFERROR(VLOOKUP(A15,'درآمد ناشی ازفروش'!$A$7:$I$111,9,0),0)</f>
        <v>0</v>
      </c>
      <c r="H15" s="4"/>
      <c r="I15" s="4">
        <f t="shared" si="0"/>
        <v>16539302</v>
      </c>
      <c r="K15" s="182">
        <f t="shared" si="1"/>
        <v>-1.0674245664787755E-2</v>
      </c>
      <c r="M15" s="4">
        <f>IFERROR(VLOOKUP(A15,'درآمد سود سهام'!$A$8:$S$100,19,0),0)</f>
        <v>161146120</v>
      </c>
      <c r="N15" s="4"/>
      <c r="O15" s="4">
        <f>IFERROR(VLOOKUP(A15,'درآمد ناشی از تغییر قیمت  '!$A$7:$Q$107,17,0),0)</f>
        <v>-48914581</v>
      </c>
      <c r="P15" s="4"/>
      <c r="Q15" s="4">
        <f>IFERROR(VLOOKUP(A15,'درآمد ناشی ازفروش'!$A$7:$Q$111,17,0),0)</f>
        <v>64409397</v>
      </c>
      <c r="R15" s="4"/>
      <c r="S15" s="4">
        <f t="shared" si="2"/>
        <v>176640936</v>
      </c>
      <c r="T15" s="58"/>
      <c r="U15" s="54">
        <f>S15/درآمدها!$J$4</f>
        <v>1.2830331741115518E-2</v>
      </c>
      <c r="V15" s="59"/>
      <c r="W15" s="59"/>
      <c r="X15" s="59"/>
    </row>
    <row r="16" spans="1:24" s="57" customFormat="1" ht="30.75">
      <c r="A16" s="94" t="s">
        <v>107</v>
      </c>
      <c r="C16" s="4">
        <f>IFERROR(VLOOKUP(A16,'درآمد سود سهام'!$A$8:$S$100,13,0),0)</f>
        <v>0</v>
      </c>
      <c r="D16" s="4"/>
      <c r="E16" s="4">
        <f>IFERROR(VLOOKUP(A16,'درآمد ناشی از تغییر قیمت  '!$A$7:$Q$107,9,0),0)</f>
        <v>0</v>
      </c>
      <c r="F16" s="4"/>
      <c r="G16" s="4">
        <f>IFERROR(VLOOKUP(A16,'درآمد ناشی ازفروش'!$A$7:$I$111,9,0),0)</f>
        <v>0</v>
      </c>
      <c r="H16" s="4"/>
      <c r="I16" s="4">
        <f t="shared" si="0"/>
        <v>0</v>
      </c>
      <c r="K16" s="182">
        <f t="shared" si="1"/>
        <v>0</v>
      </c>
      <c r="M16" s="4">
        <f>IFERROR(VLOOKUP(A16,'درآمد سود سهام'!$A$8:$S$100,19,0),0)</f>
        <v>0</v>
      </c>
      <c r="N16" s="4"/>
      <c r="O16" s="4">
        <f>IFERROR(VLOOKUP(A16,'درآمد ناشی از تغییر قیمت  '!$A$7:$Q$107,17,0),0)</f>
        <v>0</v>
      </c>
      <c r="P16" s="4"/>
      <c r="Q16" s="4">
        <f>IFERROR(VLOOKUP(A16,'درآمد ناشی ازفروش'!$A$7:$Q$111,17,0),0)</f>
        <v>607602345</v>
      </c>
      <c r="R16" s="4"/>
      <c r="S16" s="4">
        <f t="shared" si="2"/>
        <v>607602345</v>
      </c>
      <c r="T16" s="58"/>
      <c r="U16" s="54">
        <f>S16/درآمدها!$J$4</f>
        <v>4.4133256025260879E-2</v>
      </c>
      <c r="V16" s="59"/>
      <c r="W16" s="59"/>
      <c r="X16" s="59"/>
    </row>
    <row r="17" spans="1:24" s="57" customFormat="1" ht="30.75">
      <c r="A17" s="94" t="s">
        <v>92</v>
      </c>
      <c r="C17" s="4">
        <f>IFERROR(VLOOKUP(A17,'درآمد سود سهام'!$A$8:$S$100,13,0),0)</f>
        <v>0</v>
      </c>
      <c r="D17" s="4"/>
      <c r="E17" s="4">
        <f>IFERROR(VLOOKUP(A17,'درآمد ناشی از تغییر قیمت  '!$A$7:$Q$107,9,0),0)</f>
        <v>-474094520</v>
      </c>
      <c r="F17" s="4"/>
      <c r="G17" s="4">
        <f>IFERROR(VLOOKUP(A17,'درآمد ناشی ازفروش'!$A$7:$I$111,9,0),0)</f>
        <v>214042685</v>
      </c>
      <c r="H17" s="4"/>
      <c r="I17" s="4">
        <f t="shared" si="0"/>
        <v>-260051835</v>
      </c>
      <c r="K17" s="182">
        <f t="shared" si="1"/>
        <v>0.16783399761180071</v>
      </c>
      <c r="M17" s="4">
        <f>IFERROR(VLOOKUP(A17,'درآمد سود سهام'!$A$8:$S$100,19,0),0)</f>
        <v>0</v>
      </c>
      <c r="N17" s="4"/>
      <c r="O17" s="4">
        <f>IFERROR(VLOOKUP(A17,'درآمد ناشی از تغییر قیمت  '!$A$7:$Q$107,17,0),0)</f>
        <v>346238921</v>
      </c>
      <c r="P17" s="4"/>
      <c r="Q17" s="4">
        <f>IFERROR(VLOOKUP(A17,'درآمد ناشی ازفروش'!$A$7:$Q$111,17,0),0)</f>
        <v>472835284</v>
      </c>
      <c r="R17" s="4"/>
      <c r="S17" s="4">
        <f t="shared" si="2"/>
        <v>819074205</v>
      </c>
      <c r="T17" s="58"/>
      <c r="U17" s="54">
        <f>S17/درآمدها!$J$4</f>
        <v>5.9493535353212001E-2</v>
      </c>
      <c r="V17" s="59"/>
      <c r="W17" s="59"/>
      <c r="X17" s="59"/>
    </row>
    <row r="18" spans="1:24" s="57" customFormat="1" ht="30.75">
      <c r="A18" s="94" t="s">
        <v>91</v>
      </c>
      <c r="C18" s="4">
        <f>IFERROR(VLOOKUP(A18,'درآمد سود سهام'!$A$8:$S$100,13,0),0)</f>
        <v>0</v>
      </c>
      <c r="D18" s="4"/>
      <c r="E18" s="4">
        <f>IFERROR(VLOOKUP(A18,'درآمد ناشی از تغییر قیمت  '!$A$7:$Q$107,9,0),0)</f>
        <v>-175426581</v>
      </c>
      <c r="F18" s="4"/>
      <c r="G18" s="4">
        <f>IFERROR(VLOOKUP(A18,'درآمد ناشی ازفروش'!$A$7:$I$111,9,0),0)</f>
        <v>39568100</v>
      </c>
      <c r="H18" s="4"/>
      <c r="I18" s="4">
        <f t="shared" si="0"/>
        <v>-135858481</v>
      </c>
      <c r="K18" s="182">
        <f t="shared" si="1"/>
        <v>8.7681257760387932E-2</v>
      </c>
      <c r="M18" s="4">
        <f>IFERROR(VLOOKUP(A18,'درآمد سود سهام'!$A$8:$S$100,19,0),0)</f>
        <v>0</v>
      </c>
      <c r="N18" s="4"/>
      <c r="O18" s="4">
        <f>IFERROR(VLOOKUP(A18,'درآمد ناشی از تغییر قیمت  '!$A$7:$Q$107,17,0),0)</f>
        <v>122247460</v>
      </c>
      <c r="P18" s="4"/>
      <c r="Q18" s="4">
        <f>IFERROR(VLOOKUP(A18,'درآمد ناشی ازفروش'!$A$7:$Q$111,17,0),0)</f>
        <v>404521089</v>
      </c>
      <c r="R18" s="4"/>
      <c r="S18" s="4">
        <f t="shared" si="2"/>
        <v>526768549</v>
      </c>
      <c r="T18" s="58"/>
      <c r="U18" s="54">
        <f>S18/درآمدها!$J$4</f>
        <v>3.8261885310979474E-2</v>
      </c>
      <c r="V18" s="59"/>
      <c r="W18" s="59"/>
      <c r="X18" s="59"/>
    </row>
    <row r="19" spans="1:24" s="57" customFormat="1" ht="30.75">
      <c r="A19" s="94" t="s">
        <v>93</v>
      </c>
      <c r="C19" s="4">
        <f>IFERROR(VLOOKUP(A19,'درآمد سود سهام'!$A$8:$S$100,13,0),0)</f>
        <v>0</v>
      </c>
      <c r="D19" s="4"/>
      <c r="E19" s="4">
        <f>IFERROR(VLOOKUP(A19,'درآمد ناشی از تغییر قیمت  '!$A$7:$Q$107,9,0),0)</f>
        <v>-42455254</v>
      </c>
      <c r="F19" s="4"/>
      <c r="G19" s="4">
        <f>IFERROR(VLOOKUP(A19,'درآمد ناشی ازفروش'!$A$7:$I$111,9,0),0)</f>
        <v>-134702770</v>
      </c>
      <c r="H19" s="4"/>
      <c r="I19" s="4">
        <f t="shared" si="0"/>
        <v>-177158024</v>
      </c>
      <c r="K19" s="182">
        <f t="shared" si="1"/>
        <v>0.11433543384505374</v>
      </c>
      <c r="M19" s="4">
        <f>IFERROR(VLOOKUP(A19,'درآمد سود سهام'!$A$8:$S$100,19,0),0)</f>
        <v>0</v>
      </c>
      <c r="N19" s="4"/>
      <c r="O19" s="4">
        <f>IFERROR(VLOOKUP(A19,'درآمد ناشی از تغییر قیمت  '!$A$7:$Q$107,17,0),0)</f>
        <v>-360445089</v>
      </c>
      <c r="P19" s="4"/>
      <c r="Q19" s="4">
        <f>IFERROR(VLOOKUP(A19,'درآمد ناشی ازفروش'!$A$7:$Q$111,17,0),0)</f>
        <v>-112534814</v>
      </c>
      <c r="R19" s="4"/>
      <c r="S19" s="4">
        <f t="shared" si="2"/>
        <v>-472979903</v>
      </c>
      <c r="T19" s="58"/>
      <c r="U19" s="54">
        <f>S19/درآمدها!$J$4</f>
        <v>-3.4354941724100911E-2</v>
      </c>
      <c r="V19" s="59"/>
      <c r="W19" s="59"/>
      <c r="X19" s="59"/>
    </row>
    <row r="20" spans="1:24" s="57" customFormat="1" ht="30.75">
      <c r="A20" s="94" t="s">
        <v>102</v>
      </c>
      <c r="C20" s="4">
        <f>IFERROR(VLOOKUP(A20,'درآمد سود سهام'!$A$8:$S$100,13,0),0)</f>
        <v>156911699</v>
      </c>
      <c r="D20" s="4"/>
      <c r="E20" s="4">
        <f>IFERROR(VLOOKUP(A20,'درآمد ناشی از تغییر قیمت  '!$A$7:$Q$107,9,0),0)</f>
        <v>-112555575</v>
      </c>
      <c r="F20" s="4"/>
      <c r="G20" s="4">
        <f>IFERROR(VLOOKUP(A20,'درآمد ناشی ازفروش'!$A$7:$I$111,9,0),0)</f>
        <v>0</v>
      </c>
      <c r="H20" s="4"/>
      <c r="I20" s="4">
        <f t="shared" si="0"/>
        <v>44356124</v>
      </c>
      <c r="K20" s="182">
        <f t="shared" si="1"/>
        <v>-2.8626852832954384E-2</v>
      </c>
      <c r="M20" s="4">
        <f>IFERROR(VLOOKUP(A20,'درآمد سود سهام'!$A$8:$S$100,19,0),0)</f>
        <v>156911699</v>
      </c>
      <c r="N20" s="4"/>
      <c r="O20" s="4">
        <f>IFERROR(VLOOKUP(A20,'درآمد ناشی از تغییر قیمت  '!$A$7:$Q$107,17,0),0)</f>
        <v>11170144</v>
      </c>
      <c r="P20" s="4"/>
      <c r="Q20" s="4">
        <f>IFERROR(VLOOKUP(A20,'درآمد ناشی ازفروش'!$A$7:$Q$111,17,0),0)</f>
        <v>275624711</v>
      </c>
      <c r="R20" s="4"/>
      <c r="S20" s="4">
        <f t="shared" si="2"/>
        <v>443706554</v>
      </c>
      <c r="T20" s="58"/>
      <c r="U20" s="54">
        <f>S20/درآمدها!$J$4</f>
        <v>3.2228669143415239E-2</v>
      </c>
      <c r="V20" s="59"/>
      <c r="W20" s="59"/>
      <c r="X20" s="59"/>
    </row>
    <row r="21" spans="1:24" s="57" customFormat="1" ht="30.75">
      <c r="A21" s="94" t="s">
        <v>94</v>
      </c>
      <c r="C21" s="4">
        <f>IFERROR(VLOOKUP(A21,'درآمد سود سهام'!$A$8:$S$100,13,0),0)</f>
        <v>0</v>
      </c>
      <c r="D21" s="4"/>
      <c r="E21" s="4">
        <f>IFERROR(VLOOKUP(A21,'درآمد ناشی از تغییر قیمت  '!$A$7:$Q$107,9,0),0)</f>
        <v>-4001318890</v>
      </c>
      <c r="F21" s="4"/>
      <c r="G21" s="4">
        <f>IFERROR(VLOOKUP(A21,'درآمد ناشی ازفروش'!$A$7:$I$111,9,0),0)</f>
        <v>201810383</v>
      </c>
      <c r="H21" s="4"/>
      <c r="I21" s="4">
        <f t="shared" si="0"/>
        <v>-3799508507</v>
      </c>
      <c r="K21" s="182">
        <f t="shared" si="1"/>
        <v>2.4521522860619478</v>
      </c>
      <c r="M21" s="4">
        <f>IFERROR(VLOOKUP(A21,'درآمد سود سهام'!$A$8:$S$100,19,0),0)</f>
        <v>0</v>
      </c>
      <c r="N21" s="4"/>
      <c r="O21" s="4">
        <f>IFERROR(VLOOKUP(A21,'درآمد ناشی از تغییر قیمت  '!$A$7:$Q$107,17,0),0)</f>
        <v>-2104142321</v>
      </c>
      <c r="P21" s="4"/>
      <c r="Q21" s="4">
        <f>IFERROR(VLOOKUP(A21,'درآمد ناشی ازفروش'!$A$7:$Q$111,17,0),0)</f>
        <v>706313996</v>
      </c>
      <c r="R21" s="4"/>
      <c r="S21" s="4">
        <f t="shared" si="2"/>
        <v>-1397828325</v>
      </c>
      <c r="T21" s="58"/>
      <c r="U21" s="54">
        <f>S21/درآمدها!$J$4</f>
        <v>-0.10153139772129513</v>
      </c>
      <c r="V21" s="59"/>
      <c r="W21" s="59"/>
      <c r="X21" s="59"/>
    </row>
    <row r="22" spans="1:24" s="57" customFormat="1" ht="30.75">
      <c r="A22" s="94" t="s">
        <v>104</v>
      </c>
      <c r="C22" s="4">
        <f>IFERROR(VLOOKUP(A22,'درآمد سود سهام'!$A$8:$S$100,13,0),0)</f>
        <v>0</v>
      </c>
      <c r="D22" s="4"/>
      <c r="E22" s="4">
        <f>IFERROR(VLOOKUP(A22,'درآمد ناشی از تغییر قیمت  '!$A$7:$Q$107,9,0),0)</f>
        <v>0</v>
      </c>
      <c r="F22" s="4"/>
      <c r="G22" s="4">
        <f>IFERROR(VLOOKUP(A22,'درآمد ناشی ازفروش'!$A$7:$I$111,9,0),0)</f>
        <v>0</v>
      </c>
      <c r="H22" s="4"/>
      <c r="I22" s="4">
        <f t="shared" si="0"/>
        <v>0</v>
      </c>
      <c r="K22" s="182">
        <f t="shared" si="1"/>
        <v>0</v>
      </c>
      <c r="M22" s="4">
        <f>IFERROR(VLOOKUP(A22,'درآمد سود سهام'!$A$8:$S$100,19,0),0)</f>
        <v>0</v>
      </c>
      <c r="N22" s="4"/>
      <c r="O22" s="4">
        <f>IFERROR(VLOOKUP(A22,'درآمد ناشی از تغییر قیمت  '!$A$7:$Q$107,17,0),0)</f>
        <v>0</v>
      </c>
      <c r="P22" s="4"/>
      <c r="Q22" s="4">
        <f>IFERROR(VLOOKUP(A22,'درآمد ناشی ازفروش'!$A$7:$Q$111,17,0),0)</f>
        <v>94815083</v>
      </c>
      <c r="R22" s="4"/>
      <c r="S22" s="4">
        <f t="shared" ref="S22:S38" si="3">Q22+O22+M22</f>
        <v>94815083</v>
      </c>
      <c r="T22" s="58"/>
      <c r="U22" s="54">
        <f>S22/درآمدها!$J$4</f>
        <v>6.8869028691707244E-3</v>
      </c>
      <c r="V22" s="59"/>
      <c r="W22" s="59"/>
      <c r="X22" s="59"/>
    </row>
    <row r="23" spans="1:24" s="57" customFormat="1" ht="30.75">
      <c r="A23" s="94" t="s">
        <v>90</v>
      </c>
      <c r="C23" s="4">
        <f>IFERROR(VLOOKUP(A23,'درآمد سود سهام'!$A$8:$S$100,13,0),0)</f>
        <v>0</v>
      </c>
      <c r="D23" s="4"/>
      <c r="E23" s="4">
        <f>IFERROR(VLOOKUP(A23,'درآمد ناشی از تغییر قیمت  '!$A$7:$Q$107,9,0),0)</f>
        <v>-218879744</v>
      </c>
      <c r="F23" s="4"/>
      <c r="G23" s="4">
        <f>IFERROR(VLOOKUP(A23,'درآمد ناشی ازفروش'!$A$7:$I$111,9,0),0)</f>
        <v>-1228173</v>
      </c>
      <c r="H23" s="4"/>
      <c r="I23" s="4">
        <f t="shared" si="0"/>
        <v>-220107917</v>
      </c>
      <c r="K23" s="182">
        <f t="shared" si="1"/>
        <v>0.14205472388270757</v>
      </c>
      <c r="M23" s="4">
        <f>IFERROR(VLOOKUP(A23,'درآمد سود سهام'!$A$8:$S$100,19,0),0)</f>
        <v>0</v>
      </c>
      <c r="N23" s="4"/>
      <c r="O23" s="4">
        <f>IFERROR(VLOOKUP(A23,'درآمد ناشی از تغییر قیمت  '!$A$7:$Q$107,17,0),0)</f>
        <v>-332817887</v>
      </c>
      <c r="P23" s="4"/>
      <c r="Q23" s="4">
        <f>IFERROR(VLOOKUP(A23,'درآمد ناشی ازفروش'!$A$7:$Q$111,17,0),0)</f>
        <v>-181615046</v>
      </c>
      <c r="R23" s="4"/>
      <c r="S23" s="4">
        <f t="shared" si="3"/>
        <v>-514432933</v>
      </c>
      <c r="T23" s="58"/>
      <c r="U23" s="54">
        <f>S23/درآمدها!$J$4</f>
        <v>-3.7365886630860316E-2</v>
      </c>
      <c r="V23" s="59"/>
      <c r="W23" s="59"/>
      <c r="X23" s="59"/>
    </row>
    <row r="24" spans="1:24" s="57" customFormat="1" ht="30.75">
      <c r="A24" s="94" t="s">
        <v>88</v>
      </c>
      <c r="C24" s="4">
        <f>IFERROR(VLOOKUP(A24,'درآمد سود سهام'!$A$8:$S$100,13,0),0)</f>
        <v>221585357</v>
      </c>
      <c r="D24" s="4"/>
      <c r="E24" s="4">
        <f>IFERROR(VLOOKUP(A24,'درآمد ناشی از تغییر قیمت  '!$A$7:$Q$107,9,0),0)</f>
        <v>-420262592</v>
      </c>
      <c r="F24" s="4"/>
      <c r="G24" s="4">
        <f>IFERROR(VLOOKUP(A24,'درآمد ناشی ازفروش'!$A$7:$I$111,9,0),0)</f>
        <v>-52955706</v>
      </c>
      <c r="H24" s="4"/>
      <c r="I24" s="4">
        <f t="shared" si="0"/>
        <v>-251632941</v>
      </c>
      <c r="K24" s="182">
        <f t="shared" si="1"/>
        <v>0.1624005553309954</v>
      </c>
      <c r="M24" s="4">
        <f>IFERROR(VLOOKUP(A24,'درآمد سود سهام'!$A$8:$S$100,19,0),0)</f>
        <v>221585357</v>
      </c>
      <c r="N24" s="4"/>
      <c r="O24" s="4">
        <f>IFERROR(VLOOKUP(A24,'درآمد ناشی از تغییر قیمت  '!$A$7:$Q$107,17,0),0)</f>
        <v>-554494355</v>
      </c>
      <c r="P24" s="4"/>
      <c r="Q24" s="4">
        <f>IFERROR(VLOOKUP(A24,'درآمد ناشی ازفروش'!$A$7:$Q$111,17,0),0)</f>
        <v>872156694</v>
      </c>
      <c r="R24" s="4"/>
      <c r="S24" s="4">
        <f t="shared" si="3"/>
        <v>539247696</v>
      </c>
      <c r="T24" s="58"/>
      <c r="U24" s="54">
        <f>S24/درآمدها!$J$4</f>
        <v>3.9168309379385376E-2</v>
      </c>
      <c r="V24" s="59"/>
      <c r="W24" s="59"/>
      <c r="X24" s="59"/>
    </row>
    <row r="25" spans="1:24" s="57" customFormat="1" ht="30.75">
      <c r="A25" s="94" t="s">
        <v>125</v>
      </c>
      <c r="C25" s="4">
        <f>IFERROR(VLOOKUP(A25,'درآمد سود سهام'!$A$8:$S$100,13,0),0)</f>
        <v>0</v>
      </c>
      <c r="D25" s="4"/>
      <c r="E25" s="4">
        <f>IFERROR(VLOOKUP(A25,'درآمد ناشی از تغییر قیمت  '!$A$7:$Q$107,9,0),0)</f>
        <v>-123091582</v>
      </c>
      <c r="F25" s="4"/>
      <c r="G25" s="4">
        <f>IFERROR(VLOOKUP(A25,'درآمد ناشی ازفروش'!$A$7:$I$111,9,0),0)</f>
        <v>-31357321</v>
      </c>
      <c r="H25" s="4"/>
      <c r="I25" s="4">
        <f t="shared" si="0"/>
        <v>-154448903</v>
      </c>
      <c r="K25" s="182">
        <f t="shared" si="1"/>
        <v>9.9679269008992905E-2</v>
      </c>
      <c r="M25" s="4">
        <f>IFERROR(VLOOKUP(A25,'درآمد سود سهام'!$A$8:$S$100,19,0),0)</f>
        <v>0</v>
      </c>
      <c r="N25" s="4"/>
      <c r="O25" s="4">
        <f>IFERROR(VLOOKUP(A25,'درآمد ناشی از تغییر قیمت  '!$A$7:$Q$107,17,0),0)</f>
        <v>-206164315</v>
      </c>
      <c r="P25" s="4"/>
      <c r="Q25" s="4">
        <f>IFERROR(VLOOKUP(A25,'درآمد ناشی ازفروش'!$A$7:$Q$111,17,0),0)</f>
        <v>-57736044</v>
      </c>
      <c r="R25" s="4"/>
      <c r="S25" s="4">
        <f t="shared" si="3"/>
        <v>-263900359</v>
      </c>
      <c r="T25" s="58"/>
      <c r="U25" s="54">
        <f>S25/درآمدها!$J$4</f>
        <v>-1.9168428503851906E-2</v>
      </c>
      <c r="V25" s="59"/>
      <c r="W25" s="59"/>
      <c r="X25" s="59"/>
    </row>
    <row r="26" spans="1:24" s="57" customFormat="1" ht="30.75">
      <c r="A26" s="94" t="s">
        <v>95</v>
      </c>
      <c r="C26" s="4">
        <f>IFERROR(VLOOKUP(A26,'درآمد سود سهام'!$A$8:$S$100,13,0),0)</f>
        <v>0</v>
      </c>
      <c r="D26" s="4"/>
      <c r="E26" s="4">
        <f>IFERROR(VLOOKUP(A26,'درآمد ناشی از تغییر قیمت  '!$A$7:$Q$107,9,0),0)</f>
        <v>528171470</v>
      </c>
      <c r="F26" s="4"/>
      <c r="G26" s="4">
        <f>IFERROR(VLOOKUP(A26,'درآمد ناشی ازفروش'!$A$7:$I$111,9,0),0)</f>
        <v>-385944917</v>
      </c>
      <c r="H26" s="4"/>
      <c r="I26" s="4">
        <f t="shared" si="0"/>
        <v>142226553</v>
      </c>
      <c r="K26" s="182">
        <f t="shared" si="1"/>
        <v>-9.1791126782614876E-2</v>
      </c>
      <c r="M26" s="4">
        <f>IFERROR(VLOOKUP(A26,'درآمد سود سهام'!$A$8:$S$100,19,0),0)</f>
        <v>0</v>
      </c>
      <c r="N26" s="4"/>
      <c r="O26" s="4">
        <f>IFERROR(VLOOKUP(A26,'درآمد ناشی از تغییر قیمت  '!$A$7:$Q$107,17,0),0)</f>
        <v>-373568502</v>
      </c>
      <c r="P26" s="4"/>
      <c r="Q26" s="4">
        <f>IFERROR(VLOOKUP(A26,'درآمد ناشی ازفروش'!$A$7:$Q$111,17,0),0)</f>
        <v>-796531558</v>
      </c>
      <c r="R26" s="4"/>
      <c r="S26" s="4">
        <f t="shared" si="3"/>
        <v>-1170100060</v>
      </c>
      <c r="T26" s="58"/>
      <c r="U26" s="54">
        <f>S26/درآمدها!$J$4</f>
        <v>-8.4990332818997136E-2</v>
      </c>
      <c r="V26" s="59"/>
      <c r="W26" s="59"/>
      <c r="X26" s="59"/>
    </row>
    <row r="27" spans="1:24" s="57" customFormat="1" ht="30.75">
      <c r="A27" s="94" t="s">
        <v>103</v>
      </c>
      <c r="C27" s="4">
        <f>IFERROR(VLOOKUP(A27,'درآمد سود سهام'!$A$8:$S$100,13,0),0)</f>
        <v>121940417</v>
      </c>
      <c r="D27" s="4"/>
      <c r="E27" s="4">
        <f>IFERROR(VLOOKUP(A27,'درآمد ناشی از تغییر قیمت  '!$A$7:$Q$107,9,0),0)</f>
        <v>-221343425</v>
      </c>
      <c r="F27" s="4"/>
      <c r="G27" s="4">
        <f>IFERROR(VLOOKUP(A27,'درآمد ناشی ازفروش'!$A$7:$I$111,9,0),0)</f>
        <v>0</v>
      </c>
      <c r="H27" s="4"/>
      <c r="I27" s="4">
        <f t="shared" si="0"/>
        <v>-99403008</v>
      </c>
      <c r="K27" s="182">
        <f t="shared" si="1"/>
        <v>6.4153380064700588E-2</v>
      </c>
      <c r="M27" s="4">
        <f>IFERROR(VLOOKUP(A27,'درآمد سود سهام'!$A$8:$S$100,19,0),0)</f>
        <v>121940417</v>
      </c>
      <c r="N27" s="4"/>
      <c r="O27" s="4">
        <f>IFERROR(VLOOKUP(A27,'درآمد ناشی از تغییر قیمت  '!$A$7:$Q$107,17,0),0)</f>
        <v>-151793702</v>
      </c>
      <c r="P27" s="4"/>
      <c r="Q27" s="4">
        <f>IFERROR(VLOOKUP(A27,'درآمد ناشی ازفروش'!$A$7:$Q$111,17,0),0)</f>
        <v>302212634</v>
      </c>
      <c r="R27" s="4"/>
      <c r="S27" s="4">
        <f t="shared" si="3"/>
        <v>272359349</v>
      </c>
      <c r="T27" s="58"/>
      <c r="U27" s="54">
        <f>S27/درآمدها!$J$4</f>
        <v>1.9782848073587309E-2</v>
      </c>
      <c r="V27" s="59"/>
      <c r="W27" s="59"/>
      <c r="X27" s="59"/>
    </row>
    <row r="28" spans="1:24" s="57" customFormat="1" ht="30.75">
      <c r="A28" s="94" t="s">
        <v>113</v>
      </c>
      <c r="C28" s="4">
        <f>IFERROR(VLOOKUP(A28,'درآمد سود سهام'!$A$8:$S$100,13,0),0)</f>
        <v>0</v>
      </c>
      <c r="D28" s="4"/>
      <c r="E28" s="4">
        <f>IFERROR(VLOOKUP(A28,'درآمد ناشی از تغییر قیمت  '!$A$7:$Q$107,9,0),0)</f>
        <v>232667697</v>
      </c>
      <c r="F28" s="4"/>
      <c r="G28" s="4">
        <f>IFERROR(VLOOKUP(A28,'درآمد ناشی ازفروش'!$A$7:$I$111,9,0),0)</f>
        <v>-316765236</v>
      </c>
      <c r="H28" s="4"/>
      <c r="I28" s="4">
        <f t="shared" si="0"/>
        <v>-84097539</v>
      </c>
      <c r="K28" s="182">
        <f t="shared" si="1"/>
        <v>5.427543381758608E-2</v>
      </c>
      <c r="M28" s="4">
        <f>IFERROR(VLOOKUP(A28,'درآمد سود سهام'!$A$8:$S$100,19,0),0)</f>
        <v>0</v>
      </c>
      <c r="N28" s="4"/>
      <c r="O28" s="4">
        <f>IFERROR(VLOOKUP(A28,'درآمد ناشی از تغییر قیمت  '!$A$7:$Q$107,17,0),0)</f>
        <v>-1023629484</v>
      </c>
      <c r="P28" s="4"/>
      <c r="Q28" s="4">
        <f>IFERROR(VLOOKUP(A28,'درآمد ناشی ازفروش'!$A$7:$Q$111,17,0),0)</f>
        <v>-903724089</v>
      </c>
      <c r="R28" s="4"/>
      <c r="S28" s="4">
        <f t="shared" si="3"/>
        <v>-1927353573</v>
      </c>
      <c r="T28" s="58"/>
      <c r="U28" s="54">
        <f>S28/درآمدها!$J$4</f>
        <v>-0.1399935161349819</v>
      </c>
      <c r="V28" s="59"/>
      <c r="W28" s="59"/>
      <c r="X28" s="59"/>
    </row>
    <row r="29" spans="1:24" s="57" customFormat="1" ht="30.75">
      <c r="A29" s="94" t="s">
        <v>128</v>
      </c>
      <c r="C29" s="4">
        <f>IFERROR(VLOOKUP(A29,'درآمد سود سهام'!$A$8:$S$100,13,0),0)</f>
        <v>0</v>
      </c>
      <c r="D29" s="4"/>
      <c r="E29" s="4">
        <f>IFERROR(VLOOKUP(A29,'درآمد ناشی از تغییر قیمت  '!$A$7:$Q$107,9,0),0)</f>
        <v>189028658</v>
      </c>
      <c r="F29" s="4"/>
      <c r="G29" s="4">
        <f>IFERROR(VLOOKUP(A29,'درآمد ناشی ازفروش'!$A$7:$I$111,9,0),0)</f>
        <v>-194743413</v>
      </c>
      <c r="H29" s="4"/>
      <c r="I29" s="4">
        <f t="shared" si="0"/>
        <v>-5714755</v>
      </c>
      <c r="K29" s="182">
        <f t="shared" si="1"/>
        <v>3.6882269145381195E-3</v>
      </c>
      <c r="M29" s="4">
        <f>IFERROR(VLOOKUP(A29,'درآمد سود سهام'!$A$8:$S$100,19,0),0)</f>
        <v>0</v>
      </c>
      <c r="N29" s="4"/>
      <c r="O29" s="4">
        <f>IFERROR(VLOOKUP(A29,'درآمد ناشی از تغییر قیمت  '!$A$7:$Q$107,17,0),0)</f>
        <v>-373553466</v>
      </c>
      <c r="P29" s="4"/>
      <c r="Q29" s="4">
        <f>IFERROR(VLOOKUP(A29,'درآمد ناشی ازفروش'!$A$7:$Q$111,17,0),0)</f>
        <v>-383949113</v>
      </c>
      <c r="R29" s="4"/>
      <c r="S29" s="4">
        <f t="shared" si="3"/>
        <v>-757502579</v>
      </c>
      <c r="T29" s="58"/>
      <c r="U29" s="54">
        <f>S29/درآمدها!$J$4</f>
        <v>-5.5021274249365197E-2</v>
      </c>
      <c r="V29" s="59"/>
      <c r="W29" s="59"/>
      <c r="X29" s="59"/>
    </row>
    <row r="30" spans="1:24" s="57" customFormat="1" ht="30.75">
      <c r="A30" s="94" t="s">
        <v>106</v>
      </c>
      <c r="C30" s="4">
        <f>IFERROR(VLOOKUP(A30,'درآمد سود سهام'!$A$8:$S$100,13,0),0)</f>
        <v>0</v>
      </c>
      <c r="D30" s="4"/>
      <c r="E30" s="4">
        <f>IFERROR(VLOOKUP(A30,'درآمد ناشی از تغییر قیمت  '!$A$7:$Q$107,9,0),0)</f>
        <v>0</v>
      </c>
      <c r="F30" s="4"/>
      <c r="G30" s="4">
        <f>IFERROR(VLOOKUP(A30,'درآمد ناشی ازفروش'!$A$7:$I$111,9,0),0)</f>
        <v>0</v>
      </c>
      <c r="H30" s="4"/>
      <c r="I30" s="4">
        <f t="shared" si="0"/>
        <v>0</v>
      </c>
      <c r="K30" s="182">
        <f t="shared" si="1"/>
        <v>0</v>
      </c>
      <c r="M30" s="4">
        <f>IFERROR(VLOOKUP(A30,'درآمد سود سهام'!$A$8:$S$100,19,0),0)</f>
        <v>0</v>
      </c>
      <c r="N30" s="4"/>
      <c r="O30" s="4">
        <f>IFERROR(VLOOKUP(A30,'درآمد ناشی از تغییر قیمت  '!$A$7:$Q$107,17,0),0)</f>
        <v>0</v>
      </c>
      <c r="P30" s="4"/>
      <c r="Q30" s="4">
        <f>IFERROR(VLOOKUP(A30,'درآمد ناشی ازفروش'!$A$7:$Q$111,17,0),0)</f>
        <v>-7895697</v>
      </c>
      <c r="R30" s="4"/>
      <c r="S30" s="4">
        <f t="shared" si="3"/>
        <v>-7895697</v>
      </c>
      <c r="T30" s="58"/>
      <c r="U30" s="54">
        <f>S30/درآمدها!$J$4</f>
        <v>-5.7350472733755538E-4</v>
      </c>
      <c r="V30" s="59"/>
      <c r="W30" s="59"/>
      <c r="X30" s="59"/>
    </row>
    <row r="31" spans="1:24" s="57" customFormat="1" ht="30.75">
      <c r="A31" s="94" t="s">
        <v>112</v>
      </c>
      <c r="C31" s="4">
        <f>IFERROR(VLOOKUP(A31,'درآمد سود سهام'!$A$8:$S$100,13,0),0)</f>
        <v>353319487</v>
      </c>
      <c r="D31" s="4"/>
      <c r="E31" s="4">
        <f>IFERROR(VLOOKUP(A31,'درآمد ناشی از تغییر قیمت  '!$A$7:$Q$107,9,0),0)</f>
        <v>-773801522</v>
      </c>
      <c r="F31" s="4"/>
      <c r="G31" s="4">
        <f>IFERROR(VLOOKUP(A31,'درآمد ناشی ازفروش'!$A$7:$I$111,9,0),0)</f>
        <v>224278774</v>
      </c>
      <c r="H31" s="4"/>
      <c r="I31" s="4">
        <f t="shared" si="0"/>
        <v>-196203261</v>
      </c>
      <c r="K31" s="182">
        <f t="shared" si="1"/>
        <v>0.12662697664910347</v>
      </c>
      <c r="M31" s="4">
        <f>IFERROR(VLOOKUP(A31,'درآمد سود سهام'!$A$8:$S$100,19,0),0)</f>
        <v>353319487</v>
      </c>
      <c r="N31" s="4"/>
      <c r="O31" s="4">
        <f>IFERROR(VLOOKUP(A31,'درآمد ناشی از تغییر قیمت  '!$A$7:$Q$107,17,0),0)</f>
        <v>-92166712</v>
      </c>
      <c r="P31" s="4"/>
      <c r="Q31" s="4">
        <f>IFERROR(VLOOKUP(A31,'درآمد ناشی ازفروش'!$A$7:$Q$111,17,0),0)</f>
        <v>261940668</v>
      </c>
      <c r="R31" s="4"/>
      <c r="S31" s="4">
        <f t="shared" si="3"/>
        <v>523093443</v>
      </c>
      <c r="T31" s="58"/>
      <c r="U31" s="54">
        <f>S31/درآمدها!$J$4</f>
        <v>3.7994943625594808E-2</v>
      </c>
      <c r="V31" s="59"/>
      <c r="W31" s="59"/>
      <c r="X31" s="59"/>
    </row>
    <row r="32" spans="1:24" s="57" customFormat="1" ht="30.75">
      <c r="A32" s="94" t="s">
        <v>126</v>
      </c>
      <c r="C32" s="4">
        <f>IFERROR(VLOOKUP(A32,'درآمد سود سهام'!$A$8:$S$100,13,0),0)</f>
        <v>0</v>
      </c>
      <c r="D32" s="4"/>
      <c r="E32" s="4">
        <f>IFERROR(VLOOKUP(A32,'درآمد ناشی از تغییر قیمت  '!$A$7:$Q$107,9,0),0)</f>
        <v>449745158</v>
      </c>
      <c r="F32" s="4"/>
      <c r="G32" s="4">
        <f>IFERROR(VLOOKUP(A32,'درآمد ناشی ازفروش'!$A$7:$I$111,9,0),0)</f>
        <v>-483459225</v>
      </c>
      <c r="H32" s="4"/>
      <c r="I32" s="4">
        <f t="shared" si="0"/>
        <v>-33714067</v>
      </c>
      <c r="K32" s="182">
        <f t="shared" si="1"/>
        <v>2.1758610702985768E-2</v>
      </c>
      <c r="M32" s="4">
        <f>IFERROR(VLOOKUP(A32,'درآمد سود سهام'!$A$8:$S$100,19,0),0)</f>
        <v>530909091</v>
      </c>
      <c r="N32" s="4"/>
      <c r="O32" s="4">
        <f>IFERROR(VLOOKUP(A32,'درآمد ناشی از تغییر قیمت  '!$A$7:$Q$107,17,0),0)</f>
        <v>0</v>
      </c>
      <c r="P32" s="4"/>
      <c r="Q32" s="4">
        <f>IFERROR(VLOOKUP(A32,'درآمد ناشی ازفروش'!$A$7:$Q$111,17,0),0)</f>
        <v>2103361053</v>
      </c>
      <c r="R32" s="4"/>
      <c r="S32" s="4">
        <f t="shared" si="3"/>
        <v>2634270144</v>
      </c>
      <c r="T32" s="58"/>
      <c r="U32" s="54">
        <f>S32/درآمدها!$J$4</f>
        <v>0.1913404707232538</v>
      </c>
      <c r="V32" s="59"/>
      <c r="W32" s="59"/>
      <c r="X32" s="59"/>
    </row>
    <row r="33" spans="1:24" s="57" customFormat="1" ht="61.5">
      <c r="A33" s="94" t="s">
        <v>101</v>
      </c>
      <c r="C33" s="4">
        <f>IFERROR(VLOOKUP(A33,'درآمد سود سهام'!$A$8:$S$100,13,0),0)</f>
        <v>0</v>
      </c>
      <c r="D33" s="4"/>
      <c r="E33" s="4">
        <f>IFERROR(VLOOKUP(A33,'درآمد ناشی از تغییر قیمت  '!$A$7:$Q$107,9,0),0)</f>
        <v>0</v>
      </c>
      <c r="F33" s="4"/>
      <c r="G33" s="4">
        <f>IFERROR(VLOOKUP(A33,'درآمد ناشی ازفروش'!$A$7:$I$111,9,0),0)</f>
        <v>0</v>
      </c>
      <c r="H33" s="4"/>
      <c r="I33" s="4">
        <f t="shared" si="0"/>
        <v>0</v>
      </c>
      <c r="K33" s="182">
        <f t="shared" si="1"/>
        <v>0</v>
      </c>
      <c r="M33" s="4">
        <f>IFERROR(VLOOKUP(A33,'درآمد سود سهام'!$A$8:$S$100,19,0),0)</f>
        <v>0</v>
      </c>
      <c r="N33" s="4"/>
      <c r="O33" s="4">
        <f>IFERROR(VLOOKUP(A33,'درآمد ناشی از تغییر قیمت  '!$A$7:$Q$107,17,0),0)</f>
        <v>0</v>
      </c>
      <c r="P33" s="4"/>
      <c r="Q33" s="4">
        <f>IFERROR(VLOOKUP(A33,'درآمد ناشی ازفروش'!$A$7:$Q$111,17,0),0)</f>
        <v>235633818</v>
      </c>
      <c r="R33" s="4"/>
      <c r="S33" s="4">
        <f t="shared" si="3"/>
        <v>235633818</v>
      </c>
      <c r="T33" s="58"/>
      <c r="U33" s="54">
        <f>S33/درآمدها!$J$4</f>
        <v>1.7115285521163887E-2</v>
      </c>
      <c r="V33" s="59"/>
      <c r="W33" s="59"/>
      <c r="X33" s="59"/>
    </row>
    <row r="34" spans="1:24" s="57" customFormat="1" ht="30.75">
      <c r="A34" s="94" t="s">
        <v>100</v>
      </c>
      <c r="C34" s="4">
        <f>IFERROR(VLOOKUP(A34,'درآمد سود سهام'!$A$8:$S$100,13,0),0)</f>
        <v>0</v>
      </c>
      <c r="D34" s="4"/>
      <c r="E34" s="4">
        <f>IFERROR(VLOOKUP(A34,'درآمد ناشی از تغییر قیمت  '!$A$7:$Q$107,9,0),0)</f>
        <v>0</v>
      </c>
      <c r="F34" s="4"/>
      <c r="G34" s="4">
        <f>IFERROR(VLOOKUP(A34,'درآمد ناشی ازفروش'!$A$7:$I$111,9,0),0)</f>
        <v>0</v>
      </c>
      <c r="H34" s="4"/>
      <c r="I34" s="4">
        <f t="shared" si="0"/>
        <v>0</v>
      </c>
      <c r="K34" s="182">
        <f t="shared" si="1"/>
        <v>0</v>
      </c>
      <c r="M34" s="4">
        <f>IFERROR(VLOOKUP(A34,'درآمد سود سهام'!$A$8:$S$100,19,0),0)</f>
        <v>0</v>
      </c>
      <c r="N34" s="4"/>
      <c r="O34" s="4">
        <f>IFERROR(VLOOKUP(A34,'درآمد ناشی از تغییر قیمت  '!$A$7:$Q$107,17,0),0)</f>
        <v>0</v>
      </c>
      <c r="P34" s="4"/>
      <c r="Q34" s="4">
        <f>IFERROR(VLOOKUP(A34,'درآمد ناشی ازفروش'!$A$7:$Q$111,17,0),0)</f>
        <v>4819534338</v>
      </c>
      <c r="R34" s="4"/>
      <c r="S34" s="4">
        <f t="shared" si="3"/>
        <v>4819534338</v>
      </c>
      <c r="T34" s="58"/>
      <c r="U34" s="54">
        <f>S34/درآمدها!$J$4</f>
        <v>0.35006735015397317</v>
      </c>
      <c r="V34" s="59"/>
      <c r="W34" s="59"/>
      <c r="X34" s="59"/>
    </row>
    <row r="35" spans="1:24" s="57" customFormat="1" ht="30.75">
      <c r="A35" s="94" t="s">
        <v>129</v>
      </c>
      <c r="C35" s="4">
        <f>IFERROR(VLOOKUP(A35,'درآمد سود سهام'!$A$8:$S$100,13,0),0)</f>
        <v>767617347</v>
      </c>
      <c r="D35" s="4"/>
      <c r="E35" s="4">
        <f>IFERROR(VLOOKUP(A35,'درآمد ناشی از تغییر قیمت  '!$A$7:$Q$107,9,0),0)</f>
        <v>-1178023803</v>
      </c>
      <c r="F35" s="4"/>
      <c r="G35" s="4">
        <f>IFERROR(VLOOKUP(A35,'درآمد ناشی ازفروش'!$A$7:$I$111,9,0),0)</f>
        <v>0</v>
      </c>
      <c r="H35" s="4"/>
      <c r="I35" s="4">
        <f t="shared" si="0"/>
        <v>-410406456</v>
      </c>
      <c r="K35" s="182">
        <f t="shared" si="1"/>
        <v>0.26487087144057869</v>
      </c>
      <c r="M35" s="4">
        <f>IFERROR(VLOOKUP(A35,'درآمد سود سهام'!$A$8:$S$100,19,0),0)</f>
        <v>767617347</v>
      </c>
      <c r="N35" s="4"/>
      <c r="O35" s="4">
        <f>IFERROR(VLOOKUP(A35,'درآمد ناشی از تغییر قیمت  '!$A$7:$Q$107,17,0),0)</f>
        <v>-1355050302</v>
      </c>
      <c r="P35" s="4"/>
      <c r="Q35" s="4">
        <f>IFERROR(VLOOKUP(A35,'درآمد ناشی ازفروش'!$A$7:$Q$111,17,0),0)</f>
        <v>1633295555</v>
      </c>
      <c r="R35" s="4"/>
      <c r="S35" s="4">
        <f t="shared" si="3"/>
        <v>1045862600</v>
      </c>
      <c r="T35" s="58"/>
      <c r="U35" s="54">
        <f>S35/درآمدها!$J$4</f>
        <v>7.5966332705718925E-2</v>
      </c>
      <c r="V35" s="59"/>
      <c r="W35" s="59"/>
      <c r="X35" s="59"/>
    </row>
    <row r="36" spans="1:24" s="57" customFormat="1" ht="30.75">
      <c r="A36" s="94" t="s">
        <v>130</v>
      </c>
      <c r="C36" s="4">
        <f>IFERROR(VLOOKUP(A36,'درآمد سود سهام'!$A$8:$S$100,13,0),0)</f>
        <v>0</v>
      </c>
      <c r="D36" s="4"/>
      <c r="E36" s="4">
        <f>IFERROR(VLOOKUP(A36,'درآمد ناشی از تغییر قیمت  '!$A$7:$Q$107,9,0),0)</f>
        <v>-61631100</v>
      </c>
      <c r="F36" s="4"/>
      <c r="G36" s="4">
        <f>IFERROR(VLOOKUP(A36,'درآمد ناشی ازفروش'!$A$7:$I$111,9,0),0)</f>
        <v>0</v>
      </c>
      <c r="H36" s="4"/>
      <c r="I36" s="4">
        <f t="shared" si="0"/>
        <v>-61631100</v>
      </c>
      <c r="K36" s="182">
        <f t="shared" si="1"/>
        <v>3.977589271851379E-2</v>
      </c>
      <c r="M36" s="4">
        <f>IFERROR(VLOOKUP(A36,'درآمد سود سهام'!$A$8:$S$100,19,0),0)</f>
        <v>0</v>
      </c>
      <c r="N36" s="4"/>
      <c r="O36" s="4">
        <f>IFERROR(VLOOKUP(A36,'درآمد ناشی از تغییر قیمت  '!$A$7:$Q$107,17,0),0)</f>
        <v>322410780</v>
      </c>
      <c r="P36" s="4"/>
      <c r="Q36" s="4">
        <f>IFERROR(VLOOKUP(A36,'درآمد ناشی ازفروش'!$A$7:$Q$111,17,0),0)</f>
        <v>710090322</v>
      </c>
      <c r="R36" s="4"/>
      <c r="S36" s="4">
        <f t="shared" si="3"/>
        <v>1032501102</v>
      </c>
      <c r="T36" s="58"/>
      <c r="U36" s="54">
        <f>S36/درآمدها!$J$4</f>
        <v>7.4995818985738108E-2</v>
      </c>
      <c r="V36" s="59"/>
      <c r="W36" s="59"/>
      <c r="X36" s="59"/>
    </row>
    <row r="37" spans="1:24" s="57" customFormat="1" ht="30.75">
      <c r="A37" s="94" t="s">
        <v>150</v>
      </c>
      <c r="C37" s="4">
        <f>IFERROR(VLOOKUP(A37,'درآمد سود سهام'!$A$8:$S$100,13,0),0)</f>
        <v>1769553975</v>
      </c>
      <c r="D37" s="4"/>
      <c r="E37" s="4">
        <f>IFERROR(VLOOKUP(A37,'درآمد ناشی از تغییر قیمت  '!$A$7:$Q$107,9,0),0)</f>
        <v>-559153125</v>
      </c>
      <c r="F37" s="4"/>
      <c r="G37" s="4">
        <f>IFERROR(VLOOKUP(A37,'درآمد ناشی ازفروش'!$A$7:$I$111,9,0),0)</f>
        <v>0</v>
      </c>
      <c r="H37" s="4"/>
      <c r="I37" s="4">
        <f t="shared" si="0"/>
        <v>1210400850</v>
      </c>
      <c r="K37" s="182">
        <f t="shared" si="1"/>
        <v>-0.78117661953133899</v>
      </c>
      <c r="M37" s="4">
        <f>IFERROR(VLOOKUP(A37,'درآمد سود سهام'!$A$8:$S$100,19,0),0)</f>
        <v>1769553975</v>
      </c>
      <c r="N37" s="4"/>
      <c r="O37" s="4">
        <f>IFERROR(VLOOKUP(A37,'درآمد ناشی از تغییر قیمت  '!$A$7:$Q$107,17,0),0)</f>
        <v>-1130961936</v>
      </c>
      <c r="P37" s="4"/>
      <c r="Q37" s="4">
        <f>IFERROR(VLOOKUP(A37,'درآمد ناشی ازفروش'!$A$7:$Q$111,17,0),0)</f>
        <v>0</v>
      </c>
      <c r="R37" s="4"/>
      <c r="S37" s="4">
        <f t="shared" si="3"/>
        <v>638592039</v>
      </c>
      <c r="T37" s="58"/>
      <c r="U37" s="54">
        <f>S37/درآمدها!$J$4</f>
        <v>4.6384195493650346E-2</v>
      </c>
      <c r="V37" s="59"/>
      <c r="W37" s="59"/>
      <c r="X37" s="59"/>
    </row>
    <row r="38" spans="1:24" s="57" customFormat="1" ht="30.75">
      <c r="A38" s="94" t="s">
        <v>160</v>
      </c>
      <c r="C38" s="4">
        <f>IFERROR(VLOOKUP(A38,'درآمد سود سهام'!$A$8:$S$100,13,0),0)</f>
        <v>0</v>
      </c>
      <c r="D38" s="4"/>
      <c r="E38" s="4">
        <f>IFERROR(VLOOKUP(A38,'درآمد ناشی از تغییر قیمت  '!$A$7:$Q$107,9,0),0)</f>
        <v>0</v>
      </c>
      <c r="F38" s="4"/>
      <c r="G38" s="4">
        <f>IFERROR(VLOOKUP(A38,'درآمد ناشی ازفروش'!$A$7:$I$111,9,0),0)</f>
        <v>0</v>
      </c>
      <c r="H38" s="4"/>
      <c r="I38" s="4">
        <f t="shared" si="0"/>
        <v>0</v>
      </c>
      <c r="K38" s="182">
        <f t="shared" si="1"/>
        <v>0</v>
      </c>
      <c r="M38" s="4">
        <f>IFERROR(VLOOKUP(A38,'درآمد سود سهام'!$A$8:$S$100,19,0),0)</f>
        <v>0</v>
      </c>
      <c r="N38" s="4"/>
      <c r="O38" s="4">
        <f>IFERROR(VLOOKUP(A38,'درآمد ناشی از تغییر قیمت  '!$A$7:$Q$107,17,0),0)</f>
        <v>0</v>
      </c>
      <c r="P38" s="4"/>
      <c r="Q38" s="4">
        <f>IFERROR(VLOOKUP(A38,'درآمد ناشی ازفروش'!$A$7:$Q$111,17,0),0)</f>
        <v>-126126493</v>
      </c>
      <c r="R38" s="4"/>
      <c r="S38" s="4">
        <f t="shared" si="3"/>
        <v>-126126493</v>
      </c>
      <c r="T38" s="58"/>
      <c r="U38" s="54">
        <f>S38/درآمدها!$J$4</f>
        <v>-9.1612102108283907E-3</v>
      </c>
      <c r="V38" s="59"/>
      <c r="W38" s="59"/>
      <c r="X38" s="59"/>
    </row>
    <row r="39" spans="1:24" s="95" customFormat="1" ht="25.5" customHeight="1" thickBot="1">
      <c r="C39" s="168">
        <f>SUM(C11:C38)</f>
        <v>3510967382</v>
      </c>
      <c r="D39" s="96">
        <v>0</v>
      </c>
      <c r="E39" s="168">
        <f>SUM(E11:E38)</f>
        <v>-7200818717</v>
      </c>
      <c r="F39" s="96">
        <v>0</v>
      </c>
      <c r="G39" s="168">
        <f>SUM(G11:G38)</f>
        <v>-944985205</v>
      </c>
      <c r="H39" s="96">
        <v>0</v>
      </c>
      <c r="I39" s="168">
        <f>SUM(I11:I38)</f>
        <v>-4634836540</v>
      </c>
      <c r="J39" s="97">
        <v>0</v>
      </c>
      <c r="K39" s="98">
        <f>SUM(K11:K38)</f>
        <v>2.991261895096593</v>
      </c>
      <c r="M39" s="168">
        <f>SUM(M11:M38)</f>
        <v>4448548993</v>
      </c>
      <c r="N39" s="96"/>
      <c r="O39" s="168">
        <f>SUM(O11:O38)</f>
        <v>-7424004196</v>
      </c>
      <c r="P39" s="96"/>
      <c r="Q39" s="168">
        <f>SUM(Q11:Q38)</f>
        <v>12265507013</v>
      </c>
      <c r="R39" s="96"/>
      <c r="S39" s="168">
        <f>SUM(S11:S38)</f>
        <v>9290051810</v>
      </c>
      <c r="T39" s="97"/>
      <c r="U39" s="98">
        <f>SUM(U11:U38)</f>
        <v>0.67478382595555697</v>
      </c>
    </row>
    <row r="40" spans="1:24" ht="25.5" customHeight="1" thickTop="1">
      <c r="D40" s="4">
        <v>0</v>
      </c>
      <c r="F40" s="4">
        <v>0</v>
      </c>
      <c r="H40" s="4">
        <v>0</v>
      </c>
      <c r="J40" s="58">
        <v>0</v>
      </c>
      <c r="L40" s="57"/>
      <c r="N40" s="4"/>
      <c r="O40" s="99"/>
      <c r="P40" s="4"/>
      <c r="Q40" s="99"/>
      <c r="R40" s="4"/>
      <c r="S40" s="99"/>
      <c r="T40" s="99"/>
    </row>
    <row r="41" spans="1:24" s="41" customFormat="1" ht="33"/>
    <row r="42" spans="1:24" s="41" customFormat="1" ht="33"/>
    <row r="43" spans="1:24" s="41" customFormat="1" ht="33"/>
    <row r="44" spans="1:24" s="41" customFormat="1" ht="33"/>
    <row r="45" spans="1:24" s="41" customFormat="1" ht="33"/>
    <row r="46" spans="1:24" s="41" customFormat="1" ht="33"/>
    <row r="47" spans="1:24" s="41" customFormat="1" ht="33"/>
    <row r="48" spans="1:24" s="41" customFormat="1" ht="33"/>
    <row r="49" s="41" customFormat="1" ht="33"/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Q22"/>
  <sheetViews>
    <sheetView rightToLeft="1" view="pageBreakPreview" zoomScaleNormal="100" zoomScaleSheetLayoutView="100" workbookViewId="0">
      <selection activeCell="I17" sqref="I17"/>
    </sheetView>
  </sheetViews>
  <sheetFormatPr defaultColWidth="9.140625" defaultRowHeight="21.75"/>
  <cols>
    <col min="1" max="1" width="32.5703125" style="66" customWidth="1"/>
    <col min="2" max="2" width="0.42578125" style="66" customWidth="1"/>
    <col min="3" max="3" width="17.5703125" style="66" bestFit="1" customWidth="1"/>
    <col min="4" max="4" width="0.7109375" style="66" customWidth="1"/>
    <col min="5" max="5" width="20.140625" style="66" bestFit="1" customWidth="1"/>
    <col min="6" max="6" width="0.5703125" style="66" customWidth="1"/>
    <col min="7" max="7" width="18.85546875" style="66" bestFit="1" customWidth="1"/>
    <col min="8" max="8" width="0.5703125" style="66" customWidth="1"/>
    <col min="9" max="9" width="19.5703125" style="66" bestFit="1" customWidth="1"/>
    <col min="10" max="10" width="0.42578125" style="66" customWidth="1"/>
    <col min="11" max="11" width="17.5703125" style="66" bestFit="1" customWidth="1"/>
    <col min="12" max="12" width="0.5703125" style="66" customWidth="1"/>
    <col min="13" max="13" width="20.140625" style="66" bestFit="1" customWidth="1"/>
    <col min="14" max="14" width="0.85546875" style="66" customWidth="1"/>
    <col min="15" max="15" width="19.28515625" style="66" bestFit="1" customWidth="1"/>
    <col min="16" max="16" width="0.5703125" style="66" customWidth="1"/>
    <col min="17" max="17" width="20.140625" style="66" bestFit="1" customWidth="1"/>
    <col min="18" max="18" width="9.140625" style="66"/>
    <col min="19" max="19" width="13.7109375" style="66" bestFit="1" customWidth="1"/>
    <col min="20" max="16384" width="9.140625" style="66"/>
  </cols>
  <sheetData>
    <row r="1" spans="1:17" ht="21" customHeight="1">
      <c r="A1" s="325" t="s">
        <v>87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8" customHeight="1">
      <c r="A2" s="325" t="s">
        <v>52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17" ht="19.5" customHeight="1">
      <c r="A3" s="325" t="str">
        <f>' سهام'!A3:W3</f>
        <v>برای ماه منتهی به 1403/03/31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17">
      <c r="A4" s="326" t="s">
        <v>26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</row>
    <row r="5" spans="1:17" ht="4.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ht="22.5" customHeight="1" thickBot="1">
      <c r="A6" s="109"/>
      <c r="B6" s="110"/>
      <c r="C6" s="325" t="str">
        <f>'درآمد سرمایه گذاری در سهام '!C7</f>
        <v>طی خرداد ماه</v>
      </c>
      <c r="D6" s="325"/>
      <c r="E6" s="325"/>
      <c r="F6" s="325"/>
      <c r="G6" s="325"/>
      <c r="H6" s="325"/>
      <c r="I6" s="325"/>
      <c r="J6" s="164"/>
      <c r="K6" s="327" t="str">
        <f>'درآمد سرمایه گذاری در سهام '!M7</f>
        <v>از ابتدای سال مالی تا پایان خرداد ماه</v>
      </c>
      <c r="L6" s="327"/>
      <c r="M6" s="327"/>
      <c r="N6" s="327"/>
      <c r="O6" s="327"/>
      <c r="P6" s="327"/>
      <c r="Q6" s="327"/>
    </row>
    <row r="7" spans="1:17" ht="15.75" customHeight="1">
      <c r="A7" s="320"/>
      <c r="B7" s="321"/>
      <c r="C7" s="322" t="s">
        <v>12</v>
      </c>
      <c r="D7" s="322"/>
      <c r="E7" s="322" t="s">
        <v>10</v>
      </c>
      <c r="F7" s="328"/>
      <c r="G7" s="322" t="s">
        <v>11</v>
      </c>
      <c r="H7" s="320"/>
      <c r="I7" s="322" t="s">
        <v>2</v>
      </c>
      <c r="J7" s="165"/>
      <c r="K7" s="322" t="s">
        <v>12</v>
      </c>
      <c r="L7" s="322"/>
      <c r="M7" s="322" t="s">
        <v>10</v>
      </c>
      <c r="N7" s="328"/>
      <c r="O7" s="322" t="s">
        <v>11</v>
      </c>
      <c r="P7" s="320"/>
      <c r="Q7" s="322" t="s">
        <v>2</v>
      </c>
    </row>
    <row r="8" spans="1:17" ht="12" customHeight="1">
      <c r="A8" s="321"/>
      <c r="B8" s="321"/>
      <c r="C8" s="323"/>
      <c r="D8" s="323"/>
      <c r="E8" s="323"/>
      <c r="F8" s="329"/>
      <c r="G8" s="323"/>
      <c r="H8" s="321"/>
      <c r="I8" s="323"/>
      <c r="J8" s="165"/>
      <c r="K8" s="323"/>
      <c r="L8" s="323"/>
      <c r="M8" s="323"/>
      <c r="N8" s="329"/>
      <c r="O8" s="323"/>
      <c r="P8" s="321"/>
      <c r="Q8" s="323"/>
    </row>
    <row r="9" spans="1:17" ht="14.25" customHeight="1" thickBot="1">
      <c r="A9" s="321"/>
      <c r="B9" s="321"/>
      <c r="C9" s="198" t="s">
        <v>62</v>
      </c>
      <c r="D9" s="323"/>
      <c r="E9" s="198" t="s">
        <v>57</v>
      </c>
      <c r="F9" s="329"/>
      <c r="G9" s="198" t="s">
        <v>58</v>
      </c>
      <c r="H9" s="321"/>
      <c r="I9" s="324"/>
      <c r="J9" s="111"/>
      <c r="K9" s="198" t="s">
        <v>62</v>
      </c>
      <c r="L9" s="323"/>
      <c r="M9" s="198" t="s">
        <v>57</v>
      </c>
      <c r="N9" s="329"/>
      <c r="O9" s="198" t="s">
        <v>58</v>
      </c>
      <c r="P9" s="321"/>
      <c r="Q9" s="324"/>
    </row>
    <row r="10" spans="1:17" ht="21" customHeight="1">
      <c r="A10" s="63" t="s">
        <v>114</v>
      </c>
      <c r="B10" s="1"/>
      <c r="C10" s="32">
        <f>IFERROR(VLOOKUP(A10,'سود اوراق بهادار'!$A$8:$R$50,6,0),0)</f>
        <v>0</v>
      </c>
      <c r="D10" s="16"/>
      <c r="E10" s="32">
        <f>IFERROR(VLOOKUP(A10,'درآمد ناشی از تغییر قیمت  '!$A$7:$Q$107,9,0),0)</f>
        <v>762912202</v>
      </c>
      <c r="F10" s="16"/>
      <c r="G10" s="32">
        <f>IFERROR(VLOOKUP(A10,'درآمد ناشی ازفروش'!$A$7:$I$111,9,0),0)</f>
        <v>61257996</v>
      </c>
      <c r="H10" s="16"/>
      <c r="I10" s="32">
        <f>C10+E10+G10</f>
        <v>824170198</v>
      </c>
      <c r="J10" s="16"/>
      <c r="K10" s="32">
        <f>IFERROR(VLOOKUP(A10,'سود اوراق بهادار'!$A$8:$R$50,12,0),0)</f>
        <v>0</v>
      </c>
      <c r="L10" s="16"/>
      <c r="M10" s="32">
        <f>IFERROR(VLOOKUP(A10,'درآمد ناشی از تغییر قیمت  '!$A$7:$Q$107,17,0),0)</f>
        <v>893075016</v>
      </c>
      <c r="N10" s="16"/>
      <c r="O10" s="32">
        <f>IFERROR(VLOOKUP(A10,'درآمد ناشی ازفروش'!$A$7:$Q$111,17,0),0)</f>
        <v>102973394</v>
      </c>
      <c r="P10" s="16"/>
      <c r="Q10" s="32">
        <f>K10+M10+O10</f>
        <v>996048410</v>
      </c>
    </row>
    <row r="11" spans="1:17" ht="21" customHeight="1">
      <c r="A11" s="63" t="s">
        <v>115</v>
      </c>
      <c r="B11" s="1"/>
      <c r="C11" s="32">
        <f>IFERROR(VLOOKUP(A11,'سود اوراق بهادار'!$A$8:$R$50,6,0),0)</f>
        <v>0</v>
      </c>
      <c r="D11" s="16"/>
      <c r="E11" s="32">
        <f>IFERROR(VLOOKUP(A11,'درآمد ناشی از تغییر قیمت  '!$A$7:$Q$107,9,0),0)</f>
        <v>-53142931</v>
      </c>
      <c r="F11" s="16"/>
      <c r="G11" s="32">
        <f>IFERROR(VLOOKUP(A11,'درآمد ناشی ازفروش'!$A$7:$I$111,9,0),0)</f>
        <v>456693880</v>
      </c>
      <c r="H11" s="16"/>
      <c r="I11" s="32">
        <f t="shared" ref="I11:I14" si="0">C11+E11+G11</f>
        <v>403550949</v>
      </c>
      <c r="J11" s="16"/>
      <c r="K11" s="32">
        <f>IFERROR(VLOOKUP(A11,'سود اوراق بهادار'!$A$8:$R$50,12,0),0)</f>
        <v>0</v>
      </c>
      <c r="L11" s="16"/>
      <c r="M11" s="32">
        <f>IFERROR(VLOOKUP(A11,'درآمد ناشی از تغییر قیمت  '!$A$7:$Q$107,17,0),0)</f>
        <v>0</v>
      </c>
      <c r="N11" s="16"/>
      <c r="O11" s="32">
        <f>IFERROR(VLOOKUP(A11,'درآمد ناشی ازفروش'!$A$7:$Q$111,17,0),0)</f>
        <v>532189472</v>
      </c>
      <c r="P11" s="16"/>
      <c r="Q11" s="32">
        <f t="shared" ref="Q11:Q14" si="1">K11+M11+O11</f>
        <v>532189472</v>
      </c>
    </row>
    <row r="12" spans="1:17" ht="21" customHeight="1">
      <c r="A12" s="63" t="s">
        <v>108</v>
      </c>
      <c r="B12" s="1"/>
      <c r="C12" s="32">
        <f>IFERROR(VLOOKUP(A12,'سود اوراق بهادار'!$A$8:$R$50,6,0),0)</f>
        <v>0</v>
      </c>
      <c r="D12" s="16"/>
      <c r="E12" s="32">
        <f>IFERROR(VLOOKUP(A12,'درآمد ناشی از تغییر قیمت  '!$A$7:$Q$107,9,0),0)</f>
        <v>-73395990</v>
      </c>
      <c r="F12" s="16"/>
      <c r="G12" s="32">
        <f>IFERROR(VLOOKUP(A12,'درآمد ناشی ازفروش'!$A$7:$I$111,9,0),0)</f>
        <v>116528174</v>
      </c>
      <c r="H12" s="16"/>
      <c r="I12" s="32">
        <f t="shared" si="0"/>
        <v>43132184</v>
      </c>
      <c r="J12" s="16"/>
      <c r="K12" s="32">
        <f>IFERROR(VLOOKUP(A12,'سود اوراق بهادار'!$A$8:$R$50,12,0),0)</f>
        <v>0</v>
      </c>
      <c r="L12" s="16"/>
      <c r="M12" s="32">
        <f>IFERROR(VLOOKUP(A12,'درآمد ناشی از تغییر قیمت  '!$A$7:$Q$107,17,0),0)</f>
        <v>0</v>
      </c>
      <c r="N12" s="16"/>
      <c r="O12" s="32">
        <f>IFERROR(VLOOKUP(A12,'درآمد ناشی ازفروش'!$A$7:$Q$111,17,0),0)</f>
        <v>137607570</v>
      </c>
      <c r="P12" s="16"/>
      <c r="Q12" s="32">
        <f t="shared" si="1"/>
        <v>137607570</v>
      </c>
    </row>
    <row r="13" spans="1:17" ht="21" customHeight="1">
      <c r="A13" s="63" t="s">
        <v>116</v>
      </c>
      <c r="B13" s="1"/>
      <c r="C13" s="32">
        <f>IFERROR(VLOOKUP(A13,'سود اوراق بهادار'!$A$8:$R$50,6,0),0)</f>
        <v>0</v>
      </c>
      <c r="D13" s="16"/>
      <c r="E13" s="32">
        <f>IFERROR(VLOOKUP(A13,'درآمد ناشی از تغییر قیمت  '!$A$7:$Q$107,9,0),0)</f>
        <v>1175845776</v>
      </c>
      <c r="F13" s="16"/>
      <c r="G13" s="32">
        <f>IFERROR(VLOOKUP(A13,'درآمد ناشی ازفروش'!$A$7:$I$111,9,0),0)</f>
        <v>-160553829</v>
      </c>
      <c r="H13" s="16"/>
      <c r="I13" s="32">
        <f t="shared" si="0"/>
        <v>1015291947</v>
      </c>
      <c r="J13" s="16"/>
      <c r="K13" s="32">
        <f>IFERROR(VLOOKUP(A13,'سود اوراق بهادار'!$A$8:$R$50,12,0),0)</f>
        <v>0</v>
      </c>
      <c r="L13" s="16"/>
      <c r="M13" s="32">
        <f>IFERROR(VLOOKUP(A13,'درآمد ناشی از تغییر قیمت  '!$A$7:$Q$107,17,0),0)</f>
        <v>515700508</v>
      </c>
      <c r="N13" s="16"/>
      <c r="O13" s="32">
        <f>IFERROR(VLOOKUP(A13,'درآمد ناشی ازفروش'!$A$7:$Q$111,17,0),0)</f>
        <v>-160553829</v>
      </c>
      <c r="P13" s="16"/>
      <c r="Q13" s="32">
        <f t="shared" si="1"/>
        <v>355146679</v>
      </c>
    </row>
    <row r="14" spans="1:17" ht="21" customHeight="1">
      <c r="A14" s="63" t="s">
        <v>131</v>
      </c>
      <c r="B14" s="1"/>
      <c r="C14" s="32">
        <f>IFERROR(VLOOKUP(A14,'سود اوراق بهادار'!$A$8:$R$50,6,0),0)</f>
        <v>0</v>
      </c>
      <c r="D14" s="16"/>
      <c r="E14" s="32">
        <f>IFERROR(VLOOKUP(A14,'درآمد ناشی از تغییر قیمت  '!$A$7:$Q$107,9,0),0)</f>
        <v>476633594</v>
      </c>
      <c r="F14" s="16"/>
      <c r="G14" s="32">
        <f>IFERROR(VLOOKUP(A14,'درآمد ناشی ازفروش'!$A$7:$I$111,9,0),0)</f>
        <v>0</v>
      </c>
      <c r="H14" s="16"/>
      <c r="I14" s="32">
        <f t="shared" si="0"/>
        <v>476633594</v>
      </c>
      <c r="J14" s="16"/>
      <c r="K14" s="32">
        <f>IFERROR(VLOOKUP(A14,'سود اوراق بهادار'!$A$8:$R$50,12,0),0)</f>
        <v>0</v>
      </c>
      <c r="L14" s="16"/>
      <c r="M14" s="32">
        <f>IFERROR(VLOOKUP(A14,'درآمد ناشی از تغییر قیمت  '!$A$7:$Q$107,17,0),0)</f>
        <v>482481022</v>
      </c>
      <c r="N14" s="16"/>
      <c r="O14" s="32">
        <f>IFERROR(VLOOKUP(A14,'درآمد ناشی ازفروش'!$A$7:$Q$111,17,0),0)</f>
        <v>0</v>
      </c>
      <c r="P14" s="16"/>
      <c r="Q14" s="32">
        <f t="shared" si="1"/>
        <v>482481022</v>
      </c>
    </row>
    <row r="15" spans="1:17" ht="21" customHeight="1" thickBot="1">
      <c r="A15" s="104" t="s">
        <v>2</v>
      </c>
      <c r="B15" s="105"/>
      <c r="C15" s="125">
        <f>SUM(C10:C14)</f>
        <v>0</v>
      </c>
      <c r="D15" s="117">
        <f t="shared" ref="D15:P15" si="2">SUM(D10:D10)</f>
        <v>0</v>
      </c>
      <c r="E15" s="125">
        <f>SUM(E10:E14)</f>
        <v>2288852651</v>
      </c>
      <c r="F15" s="117">
        <f t="shared" si="2"/>
        <v>0</v>
      </c>
      <c r="G15" s="125">
        <f>SUM(G10:G14)</f>
        <v>473926221</v>
      </c>
      <c r="H15" s="117">
        <f t="shared" si="2"/>
        <v>0</v>
      </c>
      <c r="I15" s="125">
        <f>SUM(I10:I14)</f>
        <v>2762778872</v>
      </c>
      <c r="J15" s="117">
        <f t="shared" si="2"/>
        <v>0</v>
      </c>
      <c r="K15" s="125">
        <f>SUM(K10:K14)</f>
        <v>0</v>
      </c>
      <c r="L15" s="117">
        <f t="shared" si="2"/>
        <v>0</v>
      </c>
      <c r="M15" s="125">
        <f>SUM(M10:M14)</f>
        <v>1891256546</v>
      </c>
      <c r="N15" s="117">
        <f t="shared" si="2"/>
        <v>0</v>
      </c>
      <c r="O15" s="125">
        <f>SUM(O10:O14)</f>
        <v>612216607</v>
      </c>
      <c r="P15" s="117">
        <f t="shared" si="2"/>
        <v>0</v>
      </c>
      <c r="Q15" s="125">
        <f>SUM(Q10:Q14)</f>
        <v>2503473153</v>
      </c>
    </row>
    <row r="16" spans="1:17" ht="22.5" thickTop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5:17" s="16" customFormat="1"/>
    <row r="18" spans="15:17" s="16" customFormat="1"/>
    <row r="19" spans="15:17" s="16" customFormat="1"/>
    <row r="21" spans="15:17">
      <c r="O21" s="107"/>
      <c r="Q21" s="107"/>
    </row>
    <row r="22" spans="15:17">
      <c r="O22" s="77"/>
      <c r="Q22" s="77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L16"/>
  <sheetViews>
    <sheetView rightToLeft="1" view="pageBreakPreview" zoomScaleNormal="100" zoomScaleSheetLayoutView="100" workbookViewId="0">
      <selection activeCell="L10" sqref="L10"/>
    </sheetView>
  </sheetViews>
  <sheetFormatPr defaultColWidth="9.140625" defaultRowHeight="21.75"/>
  <cols>
    <col min="1" max="1" width="35.85546875" style="66" bestFit="1" customWidth="1"/>
    <col min="2" max="2" width="0.7109375" style="66" customWidth="1"/>
    <col min="3" max="3" width="18.42578125" style="45" customWidth="1"/>
    <col min="4" max="4" width="1.42578125" style="45" customWidth="1"/>
    <col min="5" max="5" width="16.85546875" style="45" customWidth="1"/>
    <col min="6" max="6" width="1.42578125" style="45" customWidth="1"/>
    <col min="7" max="7" width="18" style="45" customWidth="1"/>
    <col min="8" max="8" width="1.28515625" style="66" customWidth="1"/>
    <col min="9" max="9" width="16.42578125" style="66" customWidth="1"/>
    <col min="10" max="10" width="0.7109375" style="66" customWidth="1"/>
    <col min="11" max="11" width="9.7109375" style="66" customWidth="1"/>
    <col min="12" max="12" width="15.42578125" style="66" bestFit="1" customWidth="1"/>
    <col min="13" max="16384" width="9.140625" style="66"/>
  </cols>
  <sheetData>
    <row r="1" spans="1:12" ht="22.5">
      <c r="A1" s="325" t="s">
        <v>87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2" ht="22.5">
      <c r="A2" s="325" t="s">
        <v>52</v>
      </c>
      <c r="B2" s="325"/>
      <c r="C2" s="325"/>
      <c r="D2" s="325"/>
      <c r="E2" s="325"/>
      <c r="F2" s="325"/>
      <c r="G2" s="325"/>
      <c r="H2" s="325"/>
      <c r="I2" s="325"/>
      <c r="J2" s="325"/>
    </row>
    <row r="3" spans="1:12" ht="22.5">
      <c r="A3" s="325" t="str">
        <f>' سهام'!A3:W3</f>
        <v>برای ماه منتهی به 1403/03/31</v>
      </c>
      <c r="B3" s="325"/>
      <c r="C3" s="325"/>
      <c r="D3" s="325"/>
      <c r="E3" s="325"/>
      <c r="F3" s="325"/>
      <c r="G3" s="325"/>
      <c r="H3" s="325"/>
      <c r="I3" s="325"/>
      <c r="J3" s="325"/>
    </row>
    <row r="4" spans="1:12">
      <c r="A4" s="326" t="s">
        <v>27</v>
      </c>
      <c r="B4" s="326"/>
      <c r="C4" s="326"/>
      <c r="D4" s="326"/>
      <c r="E4" s="326"/>
      <c r="F4" s="326"/>
      <c r="G4" s="326"/>
      <c r="H4" s="326"/>
      <c r="I4" s="326"/>
      <c r="J4" s="326"/>
    </row>
    <row r="5" spans="1:12" ht="22.5" thickBot="1">
      <c r="A5" s="62"/>
      <c r="B5" s="62"/>
      <c r="C5" s="11"/>
      <c r="D5" s="11"/>
      <c r="E5" s="11"/>
      <c r="F5" s="11"/>
      <c r="G5" s="11"/>
      <c r="H5" s="62"/>
      <c r="I5" s="62"/>
      <c r="J5" s="62"/>
    </row>
    <row r="6" spans="1:12" ht="37.5" customHeight="1" thickBot="1">
      <c r="A6" s="330" t="s">
        <v>17</v>
      </c>
      <c r="B6" s="330"/>
      <c r="C6" s="331" t="str">
        <f>'درآمد سرمایه گذاری در سهام '!C7</f>
        <v>طی خرداد ماه</v>
      </c>
      <c r="D6" s="331"/>
      <c r="E6" s="331"/>
      <c r="F6" s="331"/>
      <c r="G6" s="330" t="str">
        <f>'درآمد سرمایه گذاری در سهام '!M7</f>
        <v>از ابتدای سال مالی تا پایان خرداد ماه</v>
      </c>
      <c r="H6" s="330"/>
      <c r="I6" s="330"/>
      <c r="J6" s="330"/>
    </row>
    <row r="7" spans="1:12" ht="37.5">
      <c r="A7" s="101" t="s">
        <v>13</v>
      </c>
      <c r="B7" s="164"/>
      <c r="C7" s="42" t="s">
        <v>14</v>
      </c>
      <c r="D7" s="43"/>
      <c r="E7" s="42" t="s">
        <v>15</v>
      </c>
      <c r="F7" s="44"/>
      <c r="G7" s="42" t="s">
        <v>14</v>
      </c>
      <c r="H7" s="164"/>
      <c r="I7" s="101" t="s">
        <v>15</v>
      </c>
      <c r="J7" s="164"/>
    </row>
    <row r="8" spans="1:12" ht="33" customHeight="1">
      <c r="A8" s="102" t="s">
        <v>162</v>
      </c>
      <c r="B8" s="1"/>
      <c r="C8" s="12">
        <f>VLOOKUP(A8,'سود سپرده بانکی'!$A$7:$L$31,6,0)</f>
        <v>9155</v>
      </c>
      <c r="D8" s="1"/>
      <c r="E8" s="103">
        <f>C8/$C$11</f>
        <v>4.0528281613254921E-4</v>
      </c>
      <c r="F8" s="1"/>
      <c r="G8" s="12">
        <f>VLOOKUP(A8,'سود سپرده بانکی'!$A$7:$L$31,12,0)</f>
        <v>2081989</v>
      </c>
      <c r="H8" s="1"/>
      <c r="I8" s="103">
        <f>G8/$G$11</f>
        <v>6.9361141830082337E-3</v>
      </c>
      <c r="J8" s="164"/>
      <c r="K8" s="77"/>
      <c r="L8" s="77"/>
    </row>
    <row r="9" spans="1:12" ht="27" customHeight="1">
      <c r="A9" s="102" t="s">
        <v>96</v>
      </c>
      <c r="B9" s="1"/>
      <c r="C9" s="12">
        <f>VLOOKUP(A9,'سود سپرده بانکی'!$A$7:$L$31,6,0)</f>
        <v>4758779.7894736826</v>
      </c>
      <c r="D9" s="1"/>
      <c r="E9" s="103">
        <f>C9/$C$11</f>
        <v>0.21066648546505229</v>
      </c>
      <c r="F9" s="1"/>
      <c r="G9" s="12">
        <f>VLOOKUP(A9,'سود سپرده بانکی'!$A$7:$L$31,12,0)</f>
        <v>62853670.894736826</v>
      </c>
      <c r="H9" s="1"/>
      <c r="I9" s="103">
        <f t="shared" ref="I9:I10" si="0">G9/$G$11</f>
        <v>0.20939603338303706</v>
      </c>
      <c r="J9" s="164"/>
      <c r="K9" s="77"/>
      <c r="L9" s="77"/>
    </row>
    <row r="10" spans="1:12" ht="27" customHeight="1" thickBot="1">
      <c r="A10" s="102" t="s">
        <v>151</v>
      </c>
      <c r="B10" s="1"/>
      <c r="C10" s="12">
        <f>VLOOKUP(A10,'سود سپرده بانکی'!$A$7:$L$31,6,0)</f>
        <v>17821229.210526317</v>
      </c>
      <c r="D10" s="1"/>
      <c r="E10" s="103">
        <f t="shared" ref="E10" si="1">C10/$C$11</f>
        <v>0.7889282317188151</v>
      </c>
      <c r="F10" s="1"/>
      <c r="G10" s="12">
        <f>VLOOKUP(A10,'سود سپرده بانکی'!$A$7:$L$31,12,0)</f>
        <v>235230823.10526317</v>
      </c>
      <c r="H10" s="1"/>
      <c r="I10" s="103">
        <f t="shared" si="0"/>
        <v>0.78366785243395476</v>
      </c>
      <c r="J10" s="164"/>
      <c r="K10" s="77"/>
      <c r="L10" s="77"/>
    </row>
    <row r="11" spans="1:12" ht="22.5" thickBot="1">
      <c r="A11" s="104" t="s">
        <v>2</v>
      </c>
      <c r="B11" s="105"/>
      <c r="C11" s="78">
        <f>SUM(C8:C10)</f>
        <v>22589164</v>
      </c>
      <c r="D11" s="1"/>
      <c r="E11" s="106">
        <f>SUM(E8:E10)</f>
        <v>1</v>
      </c>
      <c r="F11" s="1"/>
      <c r="G11" s="78">
        <f>SUM(G8:G10)</f>
        <v>300166483</v>
      </c>
      <c r="H11" s="1"/>
      <c r="I11" s="106">
        <f>SUM(I8:I10)</f>
        <v>1</v>
      </c>
      <c r="J11" s="164"/>
    </row>
    <row r="12" spans="1:12" ht="22.5" thickTop="1">
      <c r="D12" s="1"/>
      <c r="F12" s="1"/>
      <c r="H12" s="1"/>
    </row>
    <row r="13" spans="1:12">
      <c r="C13" s="107"/>
      <c r="D13" s="66"/>
      <c r="E13" s="66"/>
      <c r="F13" s="66"/>
      <c r="G13" s="107"/>
    </row>
    <row r="14" spans="1:12">
      <c r="C14" s="181"/>
      <c r="D14" s="181"/>
      <c r="E14" s="181"/>
      <c r="F14" s="181"/>
      <c r="G14" s="181"/>
      <c r="H14" s="181"/>
      <c r="I14" s="181"/>
    </row>
    <row r="15" spans="1:12">
      <c r="C15" s="181"/>
      <c r="D15" s="181"/>
      <c r="E15" s="181"/>
      <c r="F15" s="181"/>
      <c r="G15" s="181"/>
      <c r="H15" s="181"/>
      <c r="I15" s="181"/>
    </row>
    <row r="16" spans="1:12">
      <c r="C16" s="16"/>
      <c r="G16" s="16"/>
    </row>
  </sheetData>
  <autoFilter ref="A7:J7" xr:uid="{00000000-0009-0000-0000-00000B000000}">
    <sortState xmlns:xlrd2="http://schemas.microsoft.com/office/spreadsheetml/2017/richdata2" ref="A8:J15">
      <sortCondition descending="1" ref="G7"/>
    </sortState>
  </autoFilter>
  <mergeCells count="7">
    <mergeCell ref="A6:B6"/>
    <mergeCell ref="C6:F6"/>
    <mergeCell ref="A4:J4"/>
    <mergeCell ref="G6:J6"/>
    <mergeCell ref="A1:J1"/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K20"/>
  <sheetViews>
    <sheetView rightToLeft="1" view="pageBreakPreview" zoomScaleNormal="100" zoomScaleSheetLayoutView="100" workbookViewId="0">
      <selection activeCell="H9" sqref="H9"/>
    </sheetView>
  </sheetViews>
  <sheetFormatPr defaultColWidth="9.140625" defaultRowHeight="18"/>
  <cols>
    <col min="1" max="1" width="32.42578125" style="61" customWidth="1"/>
    <col min="2" max="2" width="1.42578125" style="61" customWidth="1"/>
    <col min="3" max="3" width="17.7109375" style="61" bestFit="1" customWidth="1"/>
    <col min="4" max="4" width="0.85546875" style="61" customWidth="1"/>
    <col min="5" max="5" width="18.140625" style="61" customWidth="1"/>
    <col min="6" max="6" width="9.140625" style="61"/>
    <col min="7" max="7" width="11.28515625" style="61" bestFit="1" customWidth="1"/>
    <col min="8" max="8" width="10.85546875" style="61" bestFit="1" customWidth="1"/>
    <col min="9" max="9" width="9.140625" style="61"/>
    <col min="10" max="10" width="9.85546875" style="61" bestFit="1" customWidth="1"/>
    <col min="11" max="11" width="11.28515625" style="61" bestFit="1" customWidth="1"/>
    <col min="12" max="16384" width="9.140625" style="61"/>
  </cols>
  <sheetData>
    <row r="1" spans="1:11" s="108" customFormat="1" ht="18.75">
      <c r="A1" s="332" t="s">
        <v>87</v>
      </c>
      <c r="B1" s="332"/>
      <c r="C1" s="332"/>
      <c r="D1" s="332"/>
      <c r="E1" s="332"/>
    </row>
    <row r="2" spans="1:11" s="108" customFormat="1" ht="18.75">
      <c r="A2" s="332" t="s">
        <v>52</v>
      </c>
      <c r="B2" s="332"/>
      <c r="C2" s="332"/>
      <c r="D2" s="332"/>
      <c r="E2" s="332"/>
    </row>
    <row r="3" spans="1:11" s="108" customFormat="1" ht="18.75">
      <c r="A3" s="332" t="str">
        <f>' سهام'!A3:W3</f>
        <v>برای ماه منتهی به 1403/03/31</v>
      </c>
      <c r="B3" s="332"/>
      <c r="C3" s="332"/>
      <c r="D3" s="332"/>
      <c r="E3" s="332"/>
    </row>
    <row r="4" spans="1:11" ht="18.75">
      <c r="A4" s="326" t="s">
        <v>28</v>
      </c>
      <c r="B4" s="326"/>
      <c r="C4" s="326"/>
      <c r="D4" s="326"/>
      <c r="E4" s="326"/>
    </row>
    <row r="5" spans="1:11" ht="49.5" customHeight="1" thickBot="1">
      <c r="A5" s="109"/>
      <c r="B5" s="110"/>
      <c r="C5" s="166" t="str">
        <f>'درآمد سرمایه گذاری در سهام '!C7</f>
        <v>طی خرداد ماه</v>
      </c>
      <c r="D5" s="164"/>
      <c r="E5" s="166" t="str">
        <f>'درآمد سرمایه گذاری در سهام '!M7</f>
        <v>از ابتدای سال مالی تا پایان خرداد ماه</v>
      </c>
    </row>
    <row r="6" spans="1:11" ht="16.5" customHeight="1">
      <c r="A6" s="320"/>
      <c r="B6" s="321"/>
      <c r="C6" s="322" t="s">
        <v>6</v>
      </c>
      <c r="D6" s="165"/>
      <c r="E6" s="322" t="s">
        <v>6</v>
      </c>
    </row>
    <row r="7" spans="1:11" ht="18.75" thickBot="1">
      <c r="A7" s="321"/>
      <c r="B7" s="321"/>
      <c r="C7" s="324"/>
      <c r="D7" s="111"/>
      <c r="E7" s="324"/>
    </row>
    <row r="8" spans="1:11">
      <c r="A8" s="164" t="s">
        <v>29</v>
      </c>
      <c r="B8" s="164"/>
      <c r="C8" s="12">
        <v>0</v>
      </c>
      <c r="D8" s="12"/>
      <c r="E8" s="12">
        <v>18434597</v>
      </c>
      <c r="F8" s="65"/>
      <c r="G8" s="71"/>
      <c r="H8" s="71"/>
      <c r="J8" s="65"/>
      <c r="K8" s="65"/>
    </row>
    <row r="9" spans="1:11">
      <c r="A9" s="164" t="s">
        <v>98</v>
      </c>
      <c r="B9" s="164"/>
      <c r="C9" s="12">
        <v>0</v>
      </c>
      <c r="D9" s="12">
        <v>27449510</v>
      </c>
      <c r="E9" s="12">
        <v>265983</v>
      </c>
      <c r="F9" s="112"/>
      <c r="G9" s="71"/>
      <c r="I9" s="65"/>
      <c r="J9" s="65"/>
    </row>
    <row r="10" spans="1:11">
      <c r="A10" s="164" t="s">
        <v>123</v>
      </c>
      <c r="B10" s="164"/>
      <c r="C10" s="12">
        <v>109204</v>
      </c>
      <c r="D10" s="12"/>
      <c r="E10" s="12">
        <v>16227227</v>
      </c>
      <c r="F10" s="112"/>
      <c r="G10" s="71"/>
      <c r="I10" s="65"/>
      <c r="J10" s="65"/>
    </row>
    <row r="11" spans="1:11" ht="18.75" thickBot="1">
      <c r="A11" s="113" t="s">
        <v>2</v>
      </c>
      <c r="B11" s="164"/>
      <c r="C11" s="78">
        <f>SUM(C8:C10)</f>
        <v>109204</v>
      </c>
      <c r="D11" s="12"/>
      <c r="E11" s="78">
        <f>SUM(E8:E10)</f>
        <v>34927807</v>
      </c>
    </row>
    <row r="12" spans="1:11" ht="18.75" thickTop="1">
      <c r="A12" s="164"/>
      <c r="D12" s="12"/>
    </row>
    <row r="13" spans="1:11">
      <c r="C13" s="114"/>
      <c r="E13" s="60"/>
    </row>
    <row r="14" spans="1:11">
      <c r="C14" s="12"/>
      <c r="E14" s="12"/>
      <c r="K14" s="114"/>
    </row>
    <row r="15" spans="1:11">
      <c r="C15" s="12"/>
      <c r="E15" s="12"/>
      <c r="K15" s="114"/>
    </row>
    <row r="16" spans="1:11">
      <c r="C16" s="60"/>
      <c r="E16" s="60"/>
    </row>
    <row r="17" spans="3:11">
      <c r="C17" s="65"/>
      <c r="E17" s="60"/>
      <c r="K17" s="114"/>
    </row>
    <row r="18" spans="3:11">
      <c r="C18" s="60"/>
      <c r="E18" s="65"/>
    </row>
    <row r="20" spans="3:11">
      <c r="C20" s="11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S31"/>
  <sheetViews>
    <sheetView rightToLeft="1" view="pageBreakPreview" zoomScale="115" zoomScaleNormal="100" zoomScaleSheetLayoutView="115" workbookViewId="0">
      <selection activeCell="V9" sqref="V9"/>
    </sheetView>
  </sheetViews>
  <sheetFormatPr defaultColWidth="9.140625" defaultRowHeight="17.25"/>
  <cols>
    <col min="1" max="1" width="30.5703125" style="83" bestFit="1" customWidth="1"/>
    <col min="2" max="2" width="0.5703125" style="83" customWidth="1"/>
    <col min="3" max="3" width="15" style="83" customWidth="1"/>
    <col min="4" max="4" width="0.85546875" style="83" customWidth="1"/>
    <col min="5" max="5" width="15.28515625" style="83" bestFit="1" customWidth="1"/>
    <col min="6" max="6" width="1.140625" style="83" customWidth="1"/>
    <col min="7" max="7" width="9.42578125" style="83" bestFit="1" customWidth="1"/>
    <col min="8" max="8" width="0.5703125" style="83" customWidth="1"/>
    <col min="9" max="9" width="19.42578125" style="83" customWidth="1"/>
    <col min="10" max="10" width="1" style="83" customWidth="1"/>
    <col min="11" max="11" width="15.28515625" style="83" customWidth="1"/>
    <col min="12" max="12" width="1.140625" style="83" customWidth="1"/>
    <col min="13" max="13" width="18.28515625" style="83" customWidth="1"/>
    <col min="14" max="14" width="1" style="83" customWidth="1"/>
    <col min="15" max="15" width="19.42578125" style="83" bestFit="1" customWidth="1"/>
    <col min="16" max="16" width="1.140625" style="83" customWidth="1"/>
    <col min="17" max="17" width="16" style="83" bestFit="1" customWidth="1"/>
    <col min="18" max="18" width="1.140625" style="83" customWidth="1"/>
    <col min="19" max="19" width="21.140625" style="83" bestFit="1" customWidth="1"/>
    <col min="20" max="20" width="2.85546875" style="83" customWidth="1"/>
    <col min="21" max="21" width="10.42578125" style="83" bestFit="1" customWidth="1"/>
    <col min="22" max="16384" width="9.140625" style="83"/>
  </cols>
  <sheetData>
    <row r="1" spans="1:19" ht="22.5">
      <c r="A1" s="335" t="s">
        <v>87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</row>
    <row r="2" spans="1:19" ht="22.5">
      <c r="A2" s="335" t="s">
        <v>52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</row>
    <row r="3" spans="1:19" ht="22.5">
      <c r="A3" s="335" t="str">
        <f>' سهام'!$A$3</f>
        <v>برای ماه منتهی به 1403/03/31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</row>
    <row r="4" spans="1:19" ht="22.5">
      <c r="A4" s="336" t="s">
        <v>72</v>
      </c>
      <c r="B4" s="336"/>
      <c r="C4" s="336"/>
      <c r="D4" s="336"/>
      <c r="E4" s="336"/>
      <c r="F4" s="336"/>
      <c r="G4" s="336"/>
      <c r="H4" s="336"/>
      <c r="I4" s="337"/>
      <c r="J4" s="337"/>
      <c r="K4" s="337"/>
      <c r="L4" s="337"/>
      <c r="M4" s="337"/>
      <c r="N4" s="337"/>
      <c r="O4" s="337"/>
      <c r="P4" s="337"/>
      <c r="Q4" s="336"/>
      <c r="R4" s="336"/>
      <c r="S4" s="336"/>
    </row>
    <row r="6" spans="1:19" ht="18.75">
      <c r="C6" s="333" t="s">
        <v>73</v>
      </c>
      <c r="D6" s="334"/>
      <c r="E6" s="334"/>
      <c r="F6" s="334"/>
      <c r="G6" s="334"/>
      <c r="I6" s="333" t="s">
        <v>74</v>
      </c>
      <c r="J6" s="334"/>
      <c r="K6" s="334"/>
      <c r="L6" s="334"/>
      <c r="M6" s="334"/>
      <c r="O6" s="333" t="str">
        <f>اوراق!Y6</f>
        <v>1403/03/31</v>
      </c>
      <c r="P6" s="334"/>
      <c r="Q6" s="334"/>
      <c r="R6" s="334"/>
      <c r="S6" s="334"/>
    </row>
    <row r="7" spans="1:19" ht="56.25">
      <c r="A7" s="183" t="s">
        <v>75</v>
      </c>
      <c r="C7" s="184" t="s">
        <v>76</v>
      </c>
      <c r="E7" s="184" t="s">
        <v>77</v>
      </c>
      <c r="G7" s="184" t="s">
        <v>78</v>
      </c>
      <c r="I7" s="184" t="s">
        <v>79</v>
      </c>
      <c r="K7" s="184" t="s">
        <v>80</v>
      </c>
      <c r="M7" s="184" t="s">
        <v>81</v>
      </c>
      <c r="O7" s="184" t="s">
        <v>79</v>
      </c>
      <c r="Q7" s="184" t="s">
        <v>80</v>
      </c>
      <c r="S7" s="184" t="s">
        <v>81</v>
      </c>
    </row>
    <row r="8" spans="1:19" ht="18">
      <c r="A8" s="185" t="s">
        <v>105</v>
      </c>
      <c r="B8" s="185"/>
      <c r="C8" s="185" t="s">
        <v>152</v>
      </c>
      <c r="D8" s="185"/>
      <c r="E8" s="12">
        <v>40952</v>
      </c>
      <c r="F8" s="185"/>
      <c r="G8" s="12">
        <v>3935</v>
      </c>
      <c r="H8" s="185"/>
      <c r="I8" s="12">
        <v>0</v>
      </c>
      <c r="J8" s="185"/>
      <c r="K8" s="12">
        <v>0</v>
      </c>
      <c r="L8" s="185"/>
      <c r="M8" s="12">
        <f>K8+I8</f>
        <v>0</v>
      </c>
      <c r="N8" s="185"/>
      <c r="O8" s="12">
        <f>G8*E8</f>
        <v>161146120</v>
      </c>
      <c r="P8" s="185"/>
      <c r="Q8" s="12">
        <v>0</v>
      </c>
      <c r="R8" s="185"/>
      <c r="S8" s="12">
        <f>O8+Q8</f>
        <v>161146120</v>
      </c>
    </row>
    <row r="9" spans="1:19" ht="18">
      <c r="A9" s="185" t="s">
        <v>99</v>
      </c>
      <c r="B9" s="185"/>
      <c r="C9" s="185" t="s">
        <v>153</v>
      </c>
      <c r="D9" s="185"/>
      <c r="E9" s="12">
        <v>43844</v>
      </c>
      <c r="F9" s="185"/>
      <c r="G9" s="12">
        <v>5600</v>
      </c>
      <c r="H9" s="185"/>
      <c r="I9" s="12">
        <v>0</v>
      </c>
      <c r="J9" s="185"/>
      <c r="K9" s="12">
        <v>0</v>
      </c>
      <c r="L9" s="185"/>
      <c r="M9" s="12">
        <f t="shared" ref="M9:M17" si="0">K9+I9</f>
        <v>0</v>
      </c>
      <c r="N9" s="185"/>
      <c r="O9" s="12">
        <f t="shared" ref="O9:O17" si="1">G9*E9</f>
        <v>245526400</v>
      </c>
      <c r="P9" s="185"/>
      <c r="Q9" s="12">
        <v>0</v>
      </c>
      <c r="R9" s="185"/>
      <c r="S9" s="12">
        <f t="shared" ref="S9:S16" si="2">O9+Q9</f>
        <v>245526400</v>
      </c>
    </row>
    <row r="10" spans="1:19" ht="18">
      <c r="A10" s="185" t="s">
        <v>126</v>
      </c>
      <c r="B10" s="185"/>
      <c r="C10" s="185" t="s">
        <v>154</v>
      </c>
      <c r="D10" s="185"/>
      <c r="E10" s="12">
        <v>300000</v>
      </c>
      <c r="F10" s="185"/>
      <c r="G10" s="12">
        <v>1920</v>
      </c>
      <c r="H10" s="185"/>
      <c r="I10" s="12">
        <v>0</v>
      </c>
      <c r="J10" s="185"/>
      <c r="K10" s="12">
        <v>0</v>
      </c>
      <c r="L10" s="185"/>
      <c r="M10" s="12">
        <f t="shared" si="0"/>
        <v>0</v>
      </c>
      <c r="N10" s="185"/>
      <c r="O10" s="12">
        <f t="shared" si="1"/>
        <v>576000000</v>
      </c>
      <c r="P10" s="185"/>
      <c r="Q10" s="12">
        <v>-45090909</v>
      </c>
      <c r="R10" s="185"/>
      <c r="S10" s="12">
        <f t="shared" si="2"/>
        <v>530909091</v>
      </c>
    </row>
    <row r="11" spans="1:19" ht="18">
      <c r="A11" s="185" t="s">
        <v>150</v>
      </c>
      <c r="B11" s="185"/>
      <c r="C11" s="185" t="s">
        <v>155</v>
      </c>
      <c r="D11" s="185"/>
      <c r="E11" s="12">
        <v>625000</v>
      </c>
      <c r="F11" s="185"/>
      <c r="G11" s="12">
        <v>3000</v>
      </c>
      <c r="H11" s="185"/>
      <c r="I11" s="12">
        <v>1875000000</v>
      </c>
      <c r="J11" s="185"/>
      <c r="K11" s="12">
        <v>-105446025</v>
      </c>
      <c r="L11" s="185"/>
      <c r="M11" s="12">
        <f>K11+I11</f>
        <v>1769553975</v>
      </c>
      <c r="N11" s="185"/>
      <c r="O11" s="12">
        <f t="shared" si="1"/>
        <v>1875000000</v>
      </c>
      <c r="P11" s="185"/>
      <c r="Q11" s="12">
        <v>-105446025</v>
      </c>
      <c r="R11" s="185"/>
      <c r="S11" s="12">
        <f t="shared" si="2"/>
        <v>1769553975</v>
      </c>
    </row>
    <row r="12" spans="1:19" ht="18">
      <c r="A12" s="185" t="s">
        <v>127</v>
      </c>
      <c r="B12" s="185"/>
      <c r="C12" s="185" t="s">
        <v>156</v>
      </c>
      <c r="D12" s="185"/>
      <c r="E12" s="12">
        <v>64886</v>
      </c>
      <c r="F12" s="185"/>
      <c r="G12" s="12">
        <v>1850</v>
      </c>
      <c r="H12" s="185"/>
      <c r="I12" s="12">
        <v>120039100</v>
      </c>
      <c r="J12" s="185"/>
      <c r="K12" s="12">
        <v>0</v>
      </c>
      <c r="L12" s="185"/>
      <c r="M12" s="12">
        <f t="shared" si="0"/>
        <v>120039100</v>
      </c>
      <c r="N12" s="185"/>
      <c r="O12" s="12">
        <f t="shared" si="1"/>
        <v>120039100</v>
      </c>
      <c r="P12" s="185"/>
      <c r="Q12" s="12">
        <v>0</v>
      </c>
      <c r="R12" s="185"/>
      <c r="S12" s="12">
        <f t="shared" si="2"/>
        <v>120039100</v>
      </c>
    </row>
    <row r="13" spans="1:19" ht="18">
      <c r="A13" s="185" t="s">
        <v>129</v>
      </c>
      <c r="B13" s="185"/>
      <c r="C13" s="185" t="s">
        <v>156</v>
      </c>
      <c r="D13" s="185"/>
      <c r="E13" s="12">
        <v>572500</v>
      </c>
      <c r="F13" s="185"/>
      <c r="G13" s="12">
        <v>1350</v>
      </c>
      <c r="H13" s="185"/>
      <c r="I13" s="12">
        <v>772875000</v>
      </c>
      <c r="J13" s="185"/>
      <c r="K13" s="12">
        <v>-5257653</v>
      </c>
      <c r="L13" s="185"/>
      <c r="M13" s="12">
        <f t="shared" si="0"/>
        <v>767617347</v>
      </c>
      <c r="N13" s="185"/>
      <c r="O13" s="12">
        <f t="shared" si="1"/>
        <v>772875000</v>
      </c>
      <c r="P13" s="185"/>
      <c r="Q13" s="12">
        <v>-5257653</v>
      </c>
      <c r="R13" s="185"/>
      <c r="S13" s="12">
        <f t="shared" si="2"/>
        <v>767617347</v>
      </c>
    </row>
    <row r="14" spans="1:19" ht="18">
      <c r="A14" s="185" t="s">
        <v>102</v>
      </c>
      <c r="B14" s="185"/>
      <c r="C14" s="185" t="s">
        <v>157</v>
      </c>
      <c r="D14" s="185"/>
      <c r="E14" s="12">
        <v>40877</v>
      </c>
      <c r="F14" s="185"/>
      <c r="G14" s="12">
        <v>4070</v>
      </c>
      <c r="H14" s="185"/>
      <c r="I14" s="12">
        <v>166369390</v>
      </c>
      <c r="J14" s="185"/>
      <c r="K14" s="12">
        <v>-9457691</v>
      </c>
      <c r="L14" s="185"/>
      <c r="M14" s="12">
        <f t="shared" si="0"/>
        <v>156911699</v>
      </c>
      <c r="N14" s="185"/>
      <c r="O14" s="12">
        <f t="shared" si="1"/>
        <v>166369390</v>
      </c>
      <c r="P14" s="185"/>
      <c r="Q14" s="12">
        <v>-9457691</v>
      </c>
      <c r="R14" s="185"/>
      <c r="S14" s="12">
        <f t="shared" si="2"/>
        <v>156911699</v>
      </c>
    </row>
    <row r="15" spans="1:19" ht="18">
      <c r="A15" s="185" t="s">
        <v>112</v>
      </c>
      <c r="B15" s="185"/>
      <c r="C15" s="185" t="s">
        <v>158</v>
      </c>
      <c r="D15" s="185"/>
      <c r="E15" s="12">
        <v>337658</v>
      </c>
      <c r="F15" s="185"/>
      <c r="G15" s="12">
        <v>1060</v>
      </c>
      <c r="H15" s="185"/>
      <c r="I15" s="12">
        <v>357917480</v>
      </c>
      <c r="J15" s="185"/>
      <c r="K15" s="12">
        <v>-4597993</v>
      </c>
      <c r="L15" s="185"/>
      <c r="M15" s="12">
        <f t="shared" si="0"/>
        <v>353319487</v>
      </c>
      <c r="N15" s="185"/>
      <c r="O15" s="12">
        <f t="shared" si="1"/>
        <v>357917480</v>
      </c>
      <c r="P15" s="185"/>
      <c r="Q15" s="12">
        <v>-4597993</v>
      </c>
      <c r="R15" s="185"/>
      <c r="S15" s="12">
        <f t="shared" si="2"/>
        <v>353319487</v>
      </c>
    </row>
    <row r="16" spans="1:19" ht="18">
      <c r="A16" s="185" t="s">
        <v>103</v>
      </c>
      <c r="B16" s="185"/>
      <c r="C16" s="185" t="s">
        <v>159</v>
      </c>
      <c r="D16" s="185"/>
      <c r="E16" s="12">
        <v>64355</v>
      </c>
      <c r="F16" s="185"/>
      <c r="G16" s="12">
        <v>1900</v>
      </c>
      <c r="H16" s="185"/>
      <c r="I16" s="12">
        <v>122274500</v>
      </c>
      <c r="J16" s="185"/>
      <c r="K16" s="12">
        <v>-334083</v>
      </c>
      <c r="L16" s="185"/>
      <c r="M16" s="12">
        <f t="shared" si="0"/>
        <v>121940417</v>
      </c>
      <c r="N16" s="185"/>
      <c r="O16" s="12">
        <f t="shared" si="1"/>
        <v>122274500</v>
      </c>
      <c r="P16" s="185"/>
      <c r="Q16" s="12">
        <v>-334083</v>
      </c>
      <c r="R16" s="185"/>
      <c r="S16" s="12">
        <f t="shared" si="2"/>
        <v>121940417</v>
      </c>
    </row>
    <row r="17" spans="1:19" ht="18">
      <c r="A17" s="185" t="s">
        <v>88</v>
      </c>
      <c r="B17" s="185"/>
      <c r="C17" s="185" t="s">
        <v>146</v>
      </c>
      <c r="D17" s="185"/>
      <c r="E17" s="12">
        <v>158661</v>
      </c>
      <c r="F17" s="185"/>
      <c r="G17" s="12">
        <v>1630</v>
      </c>
      <c r="H17" s="185"/>
      <c r="I17" s="12">
        <v>258617430</v>
      </c>
      <c r="J17" s="185"/>
      <c r="K17" s="12">
        <v>-37032073</v>
      </c>
      <c r="L17" s="185"/>
      <c r="M17" s="12">
        <f t="shared" si="0"/>
        <v>221585357</v>
      </c>
      <c r="N17" s="185"/>
      <c r="O17" s="12">
        <f t="shared" si="1"/>
        <v>258617430</v>
      </c>
      <c r="P17" s="185"/>
      <c r="Q17" s="12">
        <v>-37032073</v>
      </c>
      <c r="R17" s="185"/>
      <c r="S17" s="12">
        <f>O17+Q17</f>
        <v>221585357</v>
      </c>
    </row>
    <row r="18" spans="1:19" ht="18.75" thickBot="1">
      <c r="A18" s="186" t="s">
        <v>82</v>
      </c>
      <c r="G18" s="23"/>
      <c r="I18" s="78">
        <f>SUM(I8:I17)</f>
        <v>3673092900</v>
      </c>
      <c r="J18" s="186"/>
      <c r="K18" s="78">
        <f>SUM(K8:K17)</f>
        <v>-162125518</v>
      </c>
      <c r="L18" s="186"/>
      <c r="M18" s="78">
        <f>SUM(M8:M17)</f>
        <v>3510967382</v>
      </c>
      <c r="N18" s="186"/>
      <c r="O18" s="78">
        <f>SUM(O8:O17)</f>
        <v>4655765420</v>
      </c>
      <c r="P18" s="186"/>
      <c r="Q18" s="78">
        <f>SUM(Q8:Q17)</f>
        <v>-207216427</v>
      </c>
      <c r="R18" s="186"/>
      <c r="S18" s="78">
        <f>SUM(S8:S17)</f>
        <v>4448548993</v>
      </c>
    </row>
    <row r="19" spans="1:19" s="12" customFormat="1" ht="18.75" thickTop="1"/>
    <row r="20" spans="1:19" s="12" customFormat="1" ht="16.5" customHeight="1"/>
    <row r="21" spans="1:19" s="12" customFormat="1" ht="18"/>
    <row r="22" spans="1:19" s="12" customFormat="1" ht="18"/>
    <row r="23" spans="1:19" s="12" customFormat="1" ht="18"/>
    <row r="24" spans="1:19" s="12" customFormat="1" ht="18"/>
    <row r="25" spans="1:19" s="12" customFormat="1" ht="18"/>
    <row r="26" spans="1:19" s="12" customFormat="1" ht="18"/>
    <row r="27" spans="1:19" s="12" customFormat="1" ht="18"/>
    <row r="28" spans="1:19" s="12" customFormat="1" ht="18"/>
    <row r="29" spans="1:19" s="12" customFormat="1" ht="18"/>
    <row r="30" spans="1:19" s="12" customFormat="1" ht="18"/>
    <row r="31" spans="1:19" s="12" customFormat="1" ht="18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AA32"/>
  <sheetViews>
    <sheetView rightToLeft="1" view="pageBreakPreview" zoomScale="70" zoomScaleNormal="100" zoomScaleSheetLayoutView="70" workbookViewId="0">
      <selection activeCell="P19" sqref="P19"/>
    </sheetView>
  </sheetViews>
  <sheetFormatPr defaultColWidth="9.140625" defaultRowHeight="21.75"/>
  <cols>
    <col min="1" max="1" width="50.85546875" style="61" customWidth="1"/>
    <col min="2" max="2" width="15.5703125" style="61" bestFit="1" customWidth="1"/>
    <col min="3" max="3" width="0.85546875" style="61" customWidth="1"/>
    <col min="4" max="4" width="14" style="61" bestFit="1" customWidth="1"/>
    <col min="5" max="5" width="1.28515625" style="61" customWidth="1"/>
    <col min="6" max="6" width="12.42578125" style="61" customWidth="1"/>
    <col min="7" max="7" width="1" style="61" customWidth="1"/>
    <col min="8" max="8" width="25" style="22" bestFit="1" customWidth="1"/>
    <col min="9" max="9" width="0.85546875" style="22" customWidth="1"/>
    <col min="10" max="10" width="25" style="22" bestFit="1" customWidth="1"/>
    <col min="11" max="11" width="0.7109375" style="22" customWidth="1"/>
    <col min="12" max="12" width="23.140625" style="22" bestFit="1" customWidth="1"/>
    <col min="13" max="13" width="0.7109375" style="22" customWidth="1"/>
    <col min="14" max="14" width="23.140625" style="22" bestFit="1" customWidth="1"/>
    <col min="15" max="15" width="0.5703125" style="22" customWidth="1"/>
    <col min="16" max="16" width="17" style="22" bestFit="1" customWidth="1"/>
    <col min="17" max="17" width="0.5703125" style="22" customWidth="1"/>
    <col min="18" max="18" width="23.140625" style="22" bestFit="1" customWidth="1"/>
    <col min="19" max="19" width="14.28515625" style="176" bestFit="1" customWidth="1"/>
    <col min="20" max="20" width="15.85546875" style="176" bestFit="1" customWidth="1"/>
    <col min="21" max="21" width="11.28515625" style="176" bestFit="1" customWidth="1"/>
    <col min="22" max="22" width="14.42578125" style="176" bestFit="1" customWidth="1"/>
    <col min="23" max="27" width="9.140625" style="176"/>
    <col min="28" max="16384" width="9.140625" style="61"/>
  </cols>
  <sheetData>
    <row r="1" spans="1:27" ht="24.75">
      <c r="A1" s="339" t="s">
        <v>87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</row>
    <row r="2" spans="1:27" ht="24.75">
      <c r="A2" s="339" t="s">
        <v>52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</row>
    <row r="3" spans="1:27" ht="24.75">
      <c r="A3" s="339" t="str">
        <f>' سهام'!$A$3</f>
        <v>برای ماه منتهی به 1403/03/31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</row>
    <row r="4" spans="1:27" ht="24.75">
      <c r="A4" s="174"/>
      <c r="B4" s="195"/>
      <c r="C4" s="195"/>
      <c r="D4" s="195"/>
      <c r="E4" s="195"/>
      <c r="F4" s="195"/>
      <c r="G4" s="195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1:27" ht="24.75" customHeight="1">
      <c r="A5" s="314" t="s">
        <v>161</v>
      </c>
      <c r="B5" s="314"/>
      <c r="C5" s="314"/>
      <c r="D5" s="314"/>
      <c r="E5" s="314"/>
      <c r="F5" s="314"/>
      <c r="G5" s="314"/>
      <c r="H5" s="314"/>
      <c r="I5" s="19"/>
      <c r="J5" s="20"/>
      <c r="K5" s="20"/>
      <c r="L5" s="20"/>
      <c r="M5" s="20"/>
      <c r="N5" s="20"/>
      <c r="O5" s="20"/>
      <c r="P5" s="20"/>
      <c r="Q5" s="20"/>
      <c r="R5" s="20"/>
    </row>
    <row r="6" spans="1:27" ht="46.5" customHeight="1" thickBot="1">
      <c r="A6" s="73"/>
      <c r="B6" s="196"/>
      <c r="C6" s="196"/>
      <c r="D6" s="196"/>
      <c r="E6" s="196"/>
      <c r="F6" s="196"/>
      <c r="G6" s="197"/>
      <c r="H6" s="338" t="str">
        <f>'درآمد سرمایه گذاری در سهام '!C7</f>
        <v>طی خرداد ماه</v>
      </c>
      <c r="I6" s="338"/>
      <c r="J6" s="338"/>
      <c r="K6" s="338"/>
      <c r="L6" s="338"/>
      <c r="M6" s="20"/>
      <c r="N6" s="338" t="str">
        <f>'درآمد سرمایه گذاری در سهام '!M7</f>
        <v>از ابتدای سال مالی تا پایان خرداد ماه</v>
      </c>
      <c r="O6" s="338"/>
      <c r="P6" s="338"/>
      <c r="Q6" s="338"/>
      <c r="R6" s="338"/>
    </row>
    <row r="7" spans="1:27" ht="46.5" customHeight="1" thickBot="1">
      <c r="A7" s="75" t="s">
        <v>33</v>
      </c>
      <c r="B7" s="76" t="s">
        <v>36</v>
      </c>
      <c r="C7" s="197"/>
      <c r="D7" s="76" t="s">
        <v>20</v>
      </c>
      <c r="E7" s="197"/>
      <c r="F7" s="76" t="s">
        <v>163</v>
      </c>
      <c r="G7" s="74"/>
      <c r="H7" s="21" t="s">
        <v>53</v>
      </c>
      <c r="I7" s="175"/>
      <c r="J7" s="21" t="s">
        <v>35</v>
      </c>
      <c r="K7" s="175"/>
      <c r="L7" s="21" t="s">
        <v>37</v>
      </c>
      <c r="M7" s="20"/>
      <c r="N7" s="21" t="s">
        <v>53</v>
      </c>
      <c r="O7" s="175"/>
      <c r="P7" s="21" t="s">
        <v>35</v>
      </c>
      <c r="Q7" s="175"/>
      <c r="R7" s="21" t="s">
        <v>37</v>
      </c>
      <c r="S7" s="177"/>
      <c r="T7" s="178"/>
      <c r="U7" s="179"/>
    </row>
    <row r="8" spans="1:27" s="66" customFormat="1" ht="46.5" customHeight="1">
      <c r="A8" s="118" t="s">
        <v>86</v>
      </c>
      <c r="B8" s="12">
        <v>0</v>
      </c>
      <c r="C8" s="197"/>
      <c r="D8" s="12">
        <v>0</v>
      </c>
      <c r="E8" s="74"/>
      <c r="F8" s="12">
        <v>0</v>
      </c>
      <c r="G8" s="74"/>
      <c r="H8" s="12">
        <v>0</v>
      </c>
      <c r="I8" s="32"/>
      <c r="J8" s="32">
        <v>0</v>
      </c>
      <c r="K8" s="32"/>
      <c r="L8" s="32">
        <f>H8+J8</f>
        <v>0</v>
      </c>
      <c r="M8" s="32"/>
      <c r="N8" s="32">
        <v>0</v>
      </c>
      <c r="O8" s="32"/>
      <c r="P8" s="32">
        <v>0</v>
      </c>
      <c r="Q8" s="32"/>
      <c r="R8" s="32">
        <f>N8+P8</f>
        <v>0</v>
      </c>
      <c r="S8" s="176"/>
      <c r="T8" s="180"/>
      <c r="U8" s="176"/>
      <c r="V8" s="176"/>
      <c r="W8" s="176"/>
      <c r="X8" s="176"/>
      <c r="Y8" s="176"/>
      <c r="Z8" s="176"/>
      <c r="AA8" s="176"/>
    </row>
    <row r="9" spans="1:27" ht="46.5" customHeight="1" thickBot="1">
      <c r="A9" s="118"/>
      <c r="B9" s="32"/>
      <c r="C9" s="201"/>
      <c r="D9" s="202"/>
      <c r="E9" s="203"/>
      <c r="F9" s="204"/>
      <c r="G9" s="74"/>
      <c r="H9" s="78">
        <f>SUM(H8:H8)</f>
        <v>0</v>
      </c>
      <c r="I9" s="89"/>
      <c r="J9" s="125">
        <f>SUM(J8:J8)</f>
        <v>0</v>
      </c>
      <c r="K9" s="89"/>
      <c r="L9" s="125">
        <f>SUM(L8:L8)</f>
        <v>0</v>
      </c>
      <c r="M9" s="89"/>
      <c r="N9" s="125">
        <f>SUM(N8:N8)</f>
        <v>0</v>
      </c>
      <c r="O9" s="89"/>
      <c r="P9" s="125">
        <f>SUM(P8:P8)</f>
        <v>0</v>
      </c>
      <c r="Q9" s="126" t="e">
        <f>SUM(#REF!)</f>
        <v>#REF!</v>
      </c>
      <c r="R9" s="125">
        <f>SUM(R8:R8)</f>
        <v>0</v>
      </c>
    </row>
    <row r="10" spans="1:27" ht="47.45" customHeight="1" thickTop="1">
      <c r="B10" s="32"/>
      <c r="C10" s="201"/>
      <c r="D10" s="202"/>
      <c r="E10" s="203"/>
      <c r="F10" s="204"/>
      <c r="G10" s="74"/>
      <c r="I10" s="66"/>
      <c r="K10" s="66"/>
      <c r="M10" s="66"/>
      <c r="O10" s="66"/>
    </row>
    <row r="11" spans="1:27" ht="24">
      <c r="B11" s="74"/>
      <c r="C11" s="74"/>
      <c r="D11" s="74"/>
      <c r="E11" s="74"/>
      <c r="F11" s="74"/>
      <c r="I11" s="66"/>
      <c r="K11" s="66"/>
      <c r="M11" s="66"/>
      <c r="O11" s="66"/>
    </row>
    <row r="12" spans="1:27">
      <c r="H12" s="60"/>
      <c r="I12" s="66"/>
      <c r="K12" s="66"/>
      <c r="M12" s="66"/>
    </row>
    <row r="13" spans="1:27" s="1" customFormat="1" ht="24">
      <c r="B13" s="61"/>
      <c r="C13" s="61"/>
      <c r="D13" s="61"/>
      <c r="E13" s="61"/>
      <c r="F13" s="61"/>
      <c r="G13" s="74"/>
      <c r="H13" s="71"/>
      <c r="J13" s="72"/>
      <c r="L13" s="23"/>
      <c r="N13" s="24"/>
      <c r="P13" s="71"/>
      <c r="R13" s="12"/>
      <c r="S13" s="176"/>
      <c r="T13" s="176"/>
      <c r="U13" s="176"/>
      <c r="V13" s="176"/>
      <c r="W13" s="176"/>
      <c r="X13" s="176"/>
      <c r="Y13" s="176"/>
      <c r="Z13" s="176"/>
      <c r="AA13" s="176"/>
    </row>
    <row r="14" spans="1:27" s="1" customFormat="1" ht="24">
      <c r="B14" s="74"/>
      <c r="C14" s="74"/>
      <c r="D14" s="74"/>
      <c r="E14" s="74"/>
      <c r="F14" s="74"/>
      <c r="G14" s="74"/>
      <c r="H14" s="25"/>
      <c r="I14" s="70"/>
      <c r="J14" s="70"/>
      <c r="L14" s="23"/>
      <c r="N14" s="25"/>
      <c r="P14" s="70"/>
      <c r="R14" s="12"/>
      <c r="S14" s="176"/>
      <c r="T14" s="176"/>
      <c r="U14" s="176"/>
      <c r="V14" s="176"/>
      <c r="W14" s="176"/>
      <c r="X14" s="176"/>
      <c r="Y14" s="176"/>
      <c r="Z14" s="176"/>
      <c r="AA14" s="176"/>
    </row>
    <row r="15" spans="1:27" ht="24">
      <c r="B15" s="74"/>
      <c r="C15" s="74"/>
      <c r="D15" s="74"/>
      <c r="E15" s="74"/>
      <c r="F15" s="74"/>
      <c r="G15" s="74"/>
      <c r="H15" s="16"/>
      <c r="I15" s="66"/>
      <c r="K15" s="66"/>
      <c r="L15" s="12"/>
      <c r="N15" s="16"/>
      <c r="R15" s="12"/>
    </row>
    <row r="16" spans="1:27" ht="24">
      <c r="B16" s="74"/>
      <c r="C16" s="74"/>
      <c r="D16" s="74"/>
      <c r="E16" s="74"/>
      <c r="F16" s="74"/>
      <c r="G16" s="74"/>
      <c r="H16" s="16"/>
      <c r="K16" s="66"/>
      <c r="L16" s="12"/>
      <c r="N16" s="26"/>
      <c r="R16" s="12"/>
    </row>
    <row r="17" spans="2:21" ht="24">
      <c r="B17" s="74"/>
      <c r="C17" s="74"/>
      <c r="D17" s="74"/>
      <c r="E17" s="74"/>
      <c r="F17" s="74"/>
      <c r="G17" s="74"/>
      <c r="L17" s="12"/>
      <c r="R17" s="12"/>
    </row>
    <row r="18" spans="2:21" ht="24">
      <c r="B18" s="74"/>
      <c r="C18" s="74"/>
      <c r="D18" s="74"/>
      <c r="E18" s="74"/>
      <c r="F18" s="187"/>
      <c r="G18" s="74"/>
      <c r="L18" s="12"/>
      <c r="R18" s="12"/>
    </row>
    <row r="19" spans="2:21" ht="24">
      <c r="B19" s="74"/>
      <c r="C19" s="74"/>
      <c r="D19" s="74"/>
      <c r="E19" s="74"/>
      <c r="F19" s="188"/>
      <c r="G19" s="74"/>
      <c r="L19" s="12"/>
      <c r="R19" s="12"/>
    </row>
    <row r="20" spans="2:21" ht="24">
      <c r="B20" s="74"/>
      <c r="C20" s="74"/>
      <c r="D20" s="74"/>
      <c r="E20" s="74"/>
      <c r="F20" s="188"/>
      <c r="G20" s="74"/>
      <c r="L20" s="12"/>
      <c r="R20" s="12"/>
    </row>
    <row r="21" spans="2:21" ht="24">
      <c r="B21" s="74"/>
      <c r="C21" s="74"/>
      <c r="D21" s="74"/>
      <c r="E21" s="74"/>
      <c r="F21" s="74"/>
      <c r="G21" s="74"/>
    </row>
    <row r="22" spans="2:21" ht="24">
      <c r="B22" s="74"/>
      <c r="C22" s="74"/>
      <c r="D22" s="74"/>
      <c r="E22" s="74"/>
      <c r="F22" s="74"/>
      <c r="G22" s="74"/>
    </row>
    <row r="23" spans="2:21" ht="24">
      <c r="B23" s="74"/>
      <c r="C23" s="74"/>
      <c r="D23" s="74"/>
      <c r="E23" s="74"/>
      <c r="F23" s="74"/>
      <c r="G23" s="74"/>
    </row>
    <row r="24" spans="2:21" ht="24">
      <c r="B24" s="74"/>
      <c r="C24" s="74"/>
      <c r="D24" s="74"/>
      <c r="E24" s="74"/>
      <c r="F24" s="74"/>
      <c r="G24" s="74"/>
    </row>
    <row r="25" spans="2:21" ht="24">
      <c r="B25" s="74"/>
      <c r="C25" s="74"/>
      <c r="D25" s="74"/>
      <c r="E25" s="74"/>
      <c r="F25" s="74"/>
      <c r="G25" s="74"/>
    </row>
    <row r="26" spans="2:21" ht="24">
      <c r="B26" s="74"/>
      <c r="C26" s="74"/>
      <c r="D26" s="74"/>
      <c r="E26" s="74"/>
      <c r="F26" s="74"/>
      <c r="G26" s="74"/>
    </row>
    <row r="27" spans="2:21" ht="24">
      <c r="B27" s="74"/>
      <c r="C27" s="74"/>
      <c r="D27" s="74"/>
      <c r="E27" s="74"/>
      <c r="F27" s="74"/>
      <c r="G27" s="74"/>
    </row>
    <row r="28" spans="2:21" ht="24">
      <c r="B28" s="74"/>
      <c r="C28" s="74"/>
      <c r="D28" s="74"/>
      <c r="E28" s="74"/>
      <c r="F28" s="74"/>
    </row>
    <row r="32" spans="2:21" ht="24">
      <c r="U32" s="32"/>
    </row>
  </sheetData>
  <mergeCells count="6">
    <mergeCell ref="H6:L6"/>
    <mergeCell ref="N6:R6"/>
    <mergeCell ref="A1:R1"/>
    <mergeCell ref="A2:R2"/>
    <mergeCell ref="A3:R3"/>
    <mergeCell ref="A5:H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F446-E40C-4D81-8EA2-B5454A916B9E}">
  <sheetPr>
    <tabColor rgb="FF92D050"/>
    <pageSetUpPr fitToPage="1"/>
  </sheetPr>
  <dimension ref="A1:O28"/>
  <sheetViews>
    <sheetView rightToLeft="1" view="pageBreakPreview" zoomScale="80" zoomScaleNormal="100" zoomScaleSheetLayoutView="80" workbookViewId="0">
      <selection activeCell="O17" sqref="O17"/>
    </sheetView>
  </sheetViews>
  <sheetFormatPr defaultColWidth="9.140625" defaultRowHeight="18"/>
  <cols>
    <col min="1" max="1" width="50.85546875" style="61" customWidth="1"/>
    <col min="2" max="2" width="25" style="22" bestFit="1" customWidth="1"/>
    <col min="3" max="3" width="0.85546875" style="22" customWidth="1"/>
    <col min="4" max="4" width="18" style="22" bestFit="1" customWidth="1"/>
    <col min="5" max="5" width="0.7109375" style="22" customWidth="1"/>
    <col min="6" max="6" width="23.140625" style="22" bestFit="1" customWidth="1"/>
    <col min="7" max="7" width="0.7109375" style="22" customWidth="1"/>
    <col min="8" max="8" width="23.140625" style="22" bestFit="1" customWidth="1"/>
    <col min="9" max="9" width="0.5703125" style="22" customWidth="1"/>
    <col min="10" max="10" width="17" style="22" bestFit="1" customWidth="1"/>
    <col min="11" max="11" width="0.5703125" style="22" customWidth="1"/>
    <col min="12" max="12" width="23.140625" style="22" bestFit="1" customWidth="1"/>
    <col min="13" max="13" width="9.140625" style="61"/>
    <col min="14" max="14" width="14.28515625" style="61" bestFit="1" customWidth="1"/>
    <col min="15" max="16384" width="9.140625" style="61"/>
  </cols>
  <sheetData>
    <row r="1" spans="1:15" ht="24.75">
      <c r="A1" s="339" t="s">
        <v>87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</row>
    <row r="2" spans="1:15" ht="24.75">
      <c r="A2" s="339" t="s">
        <v>52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5" ht="24.75">
      <c r="A3" s="339" t="str">
        <f>' سهام'!$A$3</f>
        <v>برای ماه منتهی به 1403/03/31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5" ht="24.75">
      <c r="A4" s="314" t="s">
        <v>61</v>
      </c>
      <c r="B4" s="314"/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15" ht="24.75" customHeight="1" thickBot="1">
      <c r="A5" s="73"/>
      <c r="B5" s="338" t="str">
        <f>'درآمد سرمایه گذاری در سهام '!C7</f>
        <v>طی خرداد ماه</v>
      </c>
      <c r="C5" s="338"/>
      <c r="D5" s="338"/>
      <c r="E5" s="338"/>
      <c r="F5" s="338"/>
      <c r="G5" s="20"/>
      <c r="H5" s="338" t="str">
        <f>'درآمد سرمایه گذاری در سهام '!M7</f>
        <v>از ابتدای سال مالی تا پایان خرداد ماه</v>
      </c>
      <c r="I5" s="338"/>
      <c r="J5" s="338"/>
      <c r="K5" s="338"/>
      <c r="L5" s="338"/>
    </row>
    <row r="6" spans="1:15" ht="46.5" customHeight="1" thickBot="1">
      <c r="A6" s="75" t="s">
        <v>33</v>
      </c>
      <c r="B6" s="21" t="s">
        <v>53</v>
      </c>
      <c r="C6" s="175"/>
      <c r="D6" s="21" t="s">
        <v>35</v>
      </c>
      <c r="E6" s="175"/>
      <c r="F6" s="21" t="s">
        <v>37</v>
      </c>
      <c r="G6" s="20"/>
      <c r="H6" s="21" t="s">
        <v>53</v>
      </c>
      <c r="I6" s="175"/>
      <c r="J6" s="21" t="s">
        <v>35</v>
      </c>
      <c r="K6" s="175"/>
      <c r="L6" s="21" t="s">
        <v>37</v>
      </c>
    </row>
    <row r="7" spans="1:15" s="66" customFormat="1" ht="46.5" customHeight="1">
      <c r="A7" s="118" t="s">
        <v>151</v>
      </c>
      <c r="B7" s="32">
        <v>17821229.210526317</v>
      </c>
      <c r="C7" s="32"/>
      <c r="D7" s="32">
        <v>0</v>
      </c>
      <c r="E7" s="32"/>
      <c r="F7" s="32">
        <f>B7+D7</f>
        <v>17821229.210526317</v>
      </c>
      <c r="G7" s="32"/>
      <c r="H7" s="32">
        <v>235263697.10526317</v>
      </c>
      <c r="I7" s="32"/>
      <c r="J7" s="32">
        <v>-32874</v>
      </c>
      <c r="K7" s="32"/>
      <c r="L7" s="32">
        <f>H7+J7</f>
        <v>235230823.10526317</v>
      </c>
      <c r="M7" s="60"/>
      <c r="N7" s="77"/>
      <c r="O7" s="77"/>
    </row>
    <row r="8" spans="1:15" s="66" customFormat="1" ht="46.5" customHeight="1">
      <c r="A8" s="118" t="s">
        <v>162</v>
      </c>
      <c r="B8" s="32">
        <v>9155</v>
      </c>
      <c r="C8" s="32"/>
      <c r="D8" s="32">
        <v>0</v>
      </c>
      <c r="E8" s="32"/>
      <c r="F8" s="32">
        <f t="shared" ref="F8:F9" si="0">B8+D8</f>
        <v>9155</v>
      </c>
      <c r="G8" s="32"/>
      <c r="H8" s="32">
        <v>2081989</v>
      </c>
      <c r="I8" s="32"/>
      <c r="J8" s="32">
        <v>0</v>
      </c>
      <c r="K8" s="32"/>
      <c r="L8" s="32">
        <f t="shared" ref="L8:L9" si="1">H8+J8</f>
        <v>2081989</v>
      </c>
      <c r="M8" s="60"/>
      <c r="N8" s="77"/>
      <c r="O8" s="77"/>
    </row>
    <row r="9" spans="1:15" s="66" customFormat="1" ht="46.5" customHeight="1">
      <c r="A9" s="118" t="s">
        <v>96</v>
      </c>
      <c r="B9" s="32">
        <v>4758779.7894736826</v>
      </c>
      <c r="C9" s="32"/>
      <c r="D9" s="32">
        <v>0</v>
      </c>
      <c r="E9" s="32"/>
      <c r="F9" s="32">
        <f t="shared" si="0"/>
        <v>4758779.7894736826</v>
      </c>
      <c r="G9" s="32"/>
      <c r="H9" s="32">
        <v>62853670.894736826</v>
      </c>
      <c r="I9" s="32"/>
      <c r="J9" s="32">
        <v>0</v>
      </c>
      <c r="K9" s="32"/>
      <c r="L9" s="32">
        <f t="shared" si="1"/>
        <v>62853670.894736826</v>
      </c>
      <c r="M9" s="60"/>
      <c r="N9" s="77"/>
      <c r="O9" s="77"/>
    </row>
    <row r="10" spans="1:15" ht="47.45" customHeight="1" thickBot="1">
      <c r="A10" s="118"/>
      <c r="B10" s="125">
        <f>SUM(B7:B9)</f>
        <v>22589164</v>
      </c>
      <c r="C10" s="89"/>
      <c r="D10" s="125">
        <f>SUM(D7:D9)</f>
        <v>0</v>
      </c>
      <c r="E10" s="89"/>
      <c r="F10" s="125">
        <f>SUM(F7:F9)</f>
        <v>22589164</v>
      </c>
      <c r="G10" s="89"/>
      <c r="H10" s="125">
        <f>SUM(H7:H9)</f>
        <v>300199357</v>
      </c>
      <c r="I10" s="89"/>
      <c r="J10" s="125">
        <f>SUM(J7:J9)</f>
        <v>-32874</v>
      </c>
      <c r="K10" s="126" t="e">
        <f>SUM(#REF!)</f>
        <v>#REF!</v>
      </c>
      <c r="L10" s="125">
        <f>SUM(L7:L9)</f>
        <v>300166483</v>
      </c>
    </row>
    <row r="11" spans="1:15" ht="22.5" thickTop="1">
      <c r="C11" s="66"/>
      <c r="E11" s="66"/>
      <c r="G11" s="66"/>
      <c r="I11" s="66"/>
    </row>
    <row r="12" spans="1:15" ht="21.75">
      <c r="C12" s="66"/>
      <c r="E12" s="66"/>
      <c r="G12" s="66"/>
      <c r="I12" s="66"/>
    </row>
    <row r="13" spans="1:15" s="32" customFormat="1" ht="24"/>
    <row r="14" spans="1:15" s="32" customFormat="1" ht="24"/>
    <row r="15" spans="1:15" s="32" customFormat="1" ht="24"/>
    <row r="16" spans="1:15" s="32" customFormat="1" ht="24"/>
    <row r="17" spans="1:14" s="74" customFormat="1" ht="24">
      <c r="B17" s="32"/>
      <c r="D17" s="20"/>
      <c r="F17" s="32"/>
      <c r="G17" s="20"/>
      <c r="H17" s="32"/>
      <c r="I17" s="20"/>
      <c r="J17" s="20"/>
      <c r="K17" s="20"/>
      <c r="L17" s="32"/>
    </row>
    <row r="18" spans="1:14" s="74" customFormat="1" ht="24">
      <c r="A18" s="189"/>
      <c r="B18" s="32"/>
      <c r="C18" s="20"/>
      <c r="D18" s="32"/>
      <c r="G18" s="20"/>
      <c r="H18" s="32"/>
      <c r="I18" s="20"/>
      <c r="J18" s="20"/>
      <c r="K18" s="20"/>
      <c r="L18" s="32"/>
      <c r="N18" s="194"/>
    </row>
    <row r="19" spans="1:14" s="74" customFormat="1" ht="24">
      <c r="A19" s="189"/>
      <c r="B19" s="20"/>
      <c r="C19" s="20"/>
      <c r="D19" s="32"/>
      <c r="E19" s="20"/>
      <c r="G19" s="20"/>
      <c r="H19" s="20"/>
      <c r="I19" s="20"/>
      <c r="J19" s="20"/>
      <c r="K19" s="20"/>
      <c r="L19" s="32"/>
      <c r="N19" s="194"/>
    </row>
    <row r="20" spans="1:14" s="74" customFormat="1" ht="24">
      <c r="A20" s="189"/>
      <c r="B20" s="20"/>
      <c r="C20" s="20"/>
      <c r="D20" s="32"/>
      <c r="E20" s="20"/>
      <c r="G20" s="20"/>
      <c r="H20" s="20"/>
      <c r="I20" s="20"/>
      <c r="J20" s="20"/>
      <c r="K20" s="20"/>
      <c r="L20" s="32"/>
      <c r="N20" s="194"/>
    </row>
    <row r="21" spans="1:14" s="74" customFormat="1" ht="24">
      <c r="B21" s="20"/>
      <c r="C21" s="20"/>
      <c r="D21" s="32"/>
      <c r="E21" s="20"/>
      <c r="G21" s="20"/>
      <c r="H21" s="20"/>
      <c r="I21" s="20"/>
      <c r="J21" s="20"/>
      <c r="K21" s="20"/>
      <c r="L21" s="32"/>
    </row>
    <row r="22" spans="1:14" s="74" customFormat="1" ht="24">
      <c r="B22" s="20"/>
      <c r="C22" s="20"/>
      <c r="D22" s="32"/>
      <c r="E22" s="20"/>
      <c r="G22" s="20"/>
      <c r="H22" s="20"/>
      <c r="I22" s="20"/>
      <c r="J22" s="20"/>
      <c r="K22" s="20"/>
      <c r="L22" s="32"/>
    </row>
    <row r="23" spans="1:14" s="74" customFormat="1" ht="2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4" s="74" customFormat="1" ht="2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4" s="74" customFormat="1" ht="2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4" s="74" customFormat="1" ht="2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4" s="74" customFormat="1" ht="24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4" s="74" customFormat="1" ht="24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autoFilter ref="A6:L6" xr:uid="{00000000-0009-0000-0000-000005000000}">
    <sortState xmlns:xlrd2="http://schemas.microsoft.com/office/spreadsheetml/2017/richdata2" ref="A7:L14">
      <sortCondition descending="1" ref="L6"/>
    </sortState>
  </autoFilter>
  <mergeCells count="6">
    <mergeCell ref="A1:L1"/>
    <mergeCell ref="A2:L2"/>
    <mergeCell ref="A3:L3"/>
    <mergeCell ref="A4:B4"/>
    <mergeCell ref="B5:F5"/>
    <mergeCell ref="H5:L5"/>
  </mergeCells>
  <printOptions horizontalCentered="1"/>
  <pageMargins left="0.25" right="0.25" top="0.75" bottom="0.75" header="0.3" footer="0.3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AA66"/>
  <sheetViews>
    <sheetView rightToLeft="1" view="pageBreakPreview" zoomScaleNormal="100" zoomScaleSheetLayoutView="100" workbookViewId="0">
      <selection activeCell="P47" sqref="P47"/>
    </sheetView>
  </sheetViews>
  <sheetFormatPr defaultColWidth="9.140625" defaultRowHeight="17.25"/>
  <cols>
    <col min="1" max="1" width="29.7109375" style="1" customWidth="1"/>
    <col min="2" max="2" width="1.140625" style="1" customWidth="1"/>
    <col min="3" max="3" width="11.28515625" style="1" bestFit="1" customWidth="1"/>
    <col min="4" max="4" width="0.85546875" style="1" customWidth="1"/>
    <col min="5" max="5" width="20.5703125" style="17" bestFit="1" customWidth="1"/>
    <col min="6" max="6" width="0.5703125" style="17" customWidth="1"/>
    <col min="7" max="7" width="16.5703125" style="17" bestFit="1" customWidth="1"/>
    <col min="8" max="8" width="0.85546875" style="17" customWidth="1"/>
    <col min="9" max="9" width="15.85546875" style="33" customWidth="1"/>
    <col min="10" max="10" width="0.5703125" style="33" customWidth="1"/>
    <col min="11" max="11" width="12.42578125" style="33" bestFit="1" customWidth="1"/>
    <col min="12" max="12" width="0.42578125" style="33" customWidth="1"/>
    <col min="13" max="13" width="20.42578125" style="33" bestFit="1" customWidth="1"/>
    <col min="14" max="14" width="0.42578125" style="33" customWidth="1"/>
    <col min="15" max="15" width="17.85546875" style="33" bestFit="1" customWidth="1"/>
    <col min="16" max="16" width="0.5703125" style="33" customWidth="1"/>
    <col min="17" max="17" width="18" style="33" customWidth="1"/>
    <col min="18" max="18" width="9.5703125" style="1" bestFit="1" customWidth="1"/>
    <col min="19" max="19" width="13.7109375" style="1" bestFit="1" customWidth="1"/>
    <col min="20" max="20" width="14.140625" style="1" customWidth="1"/>
    <col min="21" max="21" width="12.5703125" style="1" bestFit="1" customWidth="1"/>
    <col min="22" max="22" width="9.140625" style="1"/>
    <col min="23" max="23" width="9.5703125" style="1" bestFit="1" customWidth="1"/>
    <col min="24" max="25" width="12.5703125" style="1" bestFit="1" customWidth="1"/>
    <col min="26" max="16384" width="9.140625" style="1"/>
  </cols>
  <sheetData>
    <row r="1" spans="1:27" ht="22.5">
      <c r="A1" s="325" t="s">
        <v>87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27" ht="22.5">
      <c r="A2" s="325" t="s">
        <v>52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27" ht="22.5">
      <c r="A3" s="325" t="str">
        <f>' سهام'!$A$3</f>
        <v>برای ماه منتهی به 1403/03/31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27" ht="22.5">
      <c r="A4" s="344" t="s">
        <v>60</v>
      </c>
      <c r="B4" s="344"/>
      <c r="C4" s="344"/>
      <c r="D4" s="344"/>
      <c r="E4" s="344"/>
      <c r="F4" s="344"/>
      <c r="G4" s="344"/>
      <c r="H4" s="344"/>
      <c r="I4" s="344"/>
      <c r="J4" s="345"/>
      <c r="K4" s="345"/>
      <c r="L4" s="345"/>
      <c r="M4" s="345"/>
      <c r="N4" s="345"/>
      <c r="O4" s="345"/>
      <c r="P4" s="345"/>
      <c r="Q4" s="345"/>
    </row>
    <row r="5" spans="1:27" ht="20.25" customHeight="1" thickBot="1">
      <c r="A5" s="66"/>
      <c r="B5" s="66"/>
      <c r="C5" s="343" t="str">
        <f>'درآمد سرمایه گذاری در سهام '!C7</f>
        <v>طی خرداد ماه</v>
      </c>
      <c r="D5" s="343"/>
      <c r="E5" s="343"/>
      <c r="F5" s="343"/>
      <c r="G5" s="343"/>
      <c r="H5" s="343"/>
      <c r="I5" s="343"/>
      <c r="J5" s="2"/>
      <c r="K5" s="343" t="str">
        <f>'درآمد سرمایه گذاری در سهام '!M7</f>
        <v>از ابتدای سال مالی تا پایان خرداد ماه</v>
      </c>
      <c r="L5" s="343"/>
      <c r="M5" s="343"/>
      <c r="N5" s="343"/>
      <c r="O5" s="343"/>
      <c r="P5" s="343"/>
      <c r="Q5" s="343"/>
      <c r="Z5" s="83"/>
      <c r="AA5" s="83"/>
    </row>
    <row r="6" spans="1:27" ht="44.25" thickBot="1">
      <c r="A6" s="79" t="s">
        <v>33</v>
      </c>
      <c r="B6" s="79"/>
      <c r="C6" s="80" t="s">
        <v>3</v>
      </c>
      <c r="D6" s="79"/>
      <c r="E6" s="46" t="s">
        <v>41</v>
      </c>
      <c r="F6" s="47"/>
      <c r="G6" s="48" t="s">
        <v>38</v>
      </c>
      <c r="H6" s="47"/>
      <c r="I6" s="29" t="s">
        <v>42</v>
      </c>
      <c r="J6" s="2"/>
      <c r="K6" s="27" t="s">
        <v>3</v>
      </c>
      <c r="L6" s="28"/>
      <c r="M6" s="29" t="s">
        <v>18</v>
      </c>
      <c r="N6" s="28"/>
      <c r="O6" s="27" t="s">
        <v>38</v>
      </c>
      <c r="P6" s="28"/>
      <c r="Q6" s="29" t="s">
        <v>42</v>
      </c>
      <c r="Z6" s="83"/>
      <c r="AA6" s="83"/>
    </row>
    <row r="7" spans="1:27" s="192" customFormat="1" ht="21.75">
      <c r="A7" s="192" t="s">
        <v>105</v>
      </c>
      <c r="B7" s="193"/>
      <c r="C7" s="16">
        <f>IFERROR(VLOOKUP(A7,' سهام'!$A$10:$M$100,12,0),0)</f>
        <v>0</v>
      </c>
      <c r="D7" s="16"/>
      <c r="E7" s="16">
        <f>IFERROR(VLOOKUP(A7,' سهام'!$A$10:$M$100,13,0),0)</f>
        <v>0</v>
      </c>
      <c r="F7" s="16"/>
      <c r="G7" s="16">
        <v>0</v>
      </c>
      <c r="H7" s="16"/>
      <c r="I7" s="16">
        <f>E7-G7</f>
        <v>0</v>
      </c>
      <c r="J7" s="16"/>
      <c r="K7" s="16">
        <v>46180</v>
      </c>
      <c r="L7" s="16"/>
      <c r="M7" s="16">
        <v>1122218856</v>
      </c>
      <c r="N7" s="16"/>
      <c r="O7" s="16">
        <v>1057809459</v>
      </c>
      <c r="P7" s="16"/>
      <c r="Q7" s="16">
        <f>M7-O7</f>
        <v>64409397</v>
      </c>
    </row>
    <row r="8" spans="1:27" s="192" customFormat="1" ht="21.75">
      <c r="A8" s="192" t="s">
        <v>91</v>
      </c>
      <c r="B8" s="193"/>
      <c r="C8" s="16">
        <f>IFERROR(VLOOKUP(A8,' سهام'!$A$10:$M$100,12,0),0)</f>
        <v>71474</v>
      </c>
      <c r="D8" s="16"/>
      <c r="E8" s="16">
        <f>IFERROR(VLOOKUP(A8,' سهام'!$A$10:$M$100,13,0),0)</f>
        <v>1281462599</v>
      </c>
      <c r="F8" s="16"/>
      <c r="G8" s="16">
        <v>1241894499</v>
      </c>
      <c r="H8" s="16"/>
      <c r="I8" s="16">
        <f t="shared" ref="I8:I37" si="0">E8-G8</f>
        <v>39568100</v>
      </c>
      <c r="J8" s="16"/>
      <c r="K8" s="16">
        <v>767369</v>
      </c>
      <c r="L8" s="16"/>
      <c r="M8" s="16">
        <v>13253217579</v>
      </c>
      <c r="N8" s="16"/>
      <c r="O8" s="16">
        <v>12848696490</v>
      </c>
      <c r="P8" s="16"/>
      <c r="Q8" s="16">
        <f t="shared" ref="Q8:Q37" si="1">M8-O8</f>
        <v>404521089</v>
      </c>
    </row>
    <row r="9" spans="1:27" s="192" customFormat="1" ht="21.75">
      <c r="A9" s="192" t="s">
        <v>95</v>
      </c>
      <c r="B9" s="193"/>
      <c r="C9" s="16">
        <f>IFERROR(VLOOKUP(A9,' سهام'!$A$10:$M$100,12,0),0)</f>
        <v>693750</v>
      </c>
      <c r="D9" s="16"/>
      <c r="E9" s="16">
        <f>IFERROR(VLOOKUP(A9,' سهام'!$A$10:$M$100,13,0),0)</f>
        <v>2277687621</v>
      </c>
      <c r="F9" s="16"/>
      <c r="G9" s="16">
        <v>2663632538</v>
      </c>
      <c r="H9" s="16"/>
      <c r="I9" s="16">
        <f t="shared" si="0"/>
        <v>-385944917</v>
      </c>
      <c r="J9" s="16"/>
      <c r="K9" s="16">
        <v>2345046</v>
      </c>
      <c r="L9" s="16"/>
      <c r="M9" s="16">
        <v>8280357993</v>
      </c>
      <c r="N9" s="16"/>
      <c r="O9" s="16">
        <v>9076889551</v>
      </c>
      <c r="P9" s="16"/>
      <c r="Q9" s="16">
        <f t="shared" si="1"/>
        <v>-796531558</v>
      </c>
    </row>
    <row r="10" spans="1:27" s="192" customFormat="1" ht="21.75">
      <c r="A10" s="192" t="s">
        <v>94</v>
      </c>
      <c r="B10" s="193"/>
      <c r="C10" s="16">
        <f>IFERROR(VLOOKUP(A10,' سهام'!$A$10:$M$100,12,0),0)</f>
        <v>311518</v>
      </c>
      <c r="D10" s="16"/>
      <c r="E10" s="16">
        <f>IFERROR(VLOOKUP(A10,' سهام'!$A$10:$M$100,13,0),0)</f>
        <v>2300117322</v>
      </c>
      <c r="F10" s="16"/>
      <c r="G10" s="16">
        <v>2098306939</v>
      </c>
      <c r="H10" s="16"/>
      <c r="I10" s="16">
        <f t="shared" si="0"/>
        <v>201810383</v>
      </c>
      <c r="J10" s="16"/>
      <c r="K10" s="16">
        <v>1062210</v>
      </c>
      <c r="L10" s="16"/>
      <c r="M10" s="16">
        <v>10147613261</v>
      </c>
      <c r="N10" s="16"/>
      <c r="O10" s="16">
        <v>9441299265</v>
      </c>
      <c r="P10" s="16"/>
      <c r="Q10" s="16">
        <f t="shared" si="1"/>
        <v>706313996</v>
      </c>
    </row>
    <row r="11" spans="1:27" s="192" customFormat="1" ht="21.75">
      <c r="A11" s="192" t="s">
        <v>92</v>
      </c>
      <c r="B11" s="193"/>
      <c r="C11" s="16">
        <f>IFERROR(VLOOKUP(A11,' سهام'!$A$10:$M$100,12,0),0)</f>
        <v>52637</v>
      </c>
      <c r="D11" s="16"/>
      <c r="E11" s="16">
        <f>IFERROR(VLOOKUP(A11,' سهام'!$A$10:$M$100,13,0),0)</f>
        <v>2546702971</v>
      </c>
      <c r="F11" s="16"/>
      <c r="G11" s="16">
        <v>2332660286</v>
      </c>
      <c r="H11" s="16"/>
      <c r="I11" s="16">
        <f t="shared" si="0"/>
        <v>214042685</v>
      </c>
      <c r="J11" s="16"/>
      <c r="K11" s="16">
        <v>238467</v>
      </c>
      <c r="L11" s="16"/>
      <c r="M11" s="16">
        <v>11008863168</v>
      </c>
      <c r="N11" s="16"/>
      <c r="O11" s="16">
        <v>10536027884</v>
      </c>
      <c r="P11" s="16"/>
      <c r="Q11" s="16">
        <f t="shared" si="1"/>
        <v>472835284</v>
      </c>
    </row>
    <row r="12" spans="1:27" s="192" customFormat="1" ht="21.75">
      <c r="A12" s="192" t="s">
        <v>88</v>
      </c>
      <c r="B12" s="193"/>
      <c r="C12" s="16">
        <f>IFERROR(VLOOKUP(A12,' سهام'!$A$10:$M$100,12,0),0)</f>
        <v>30000</v>
      </c>
      <c r="D12" s="16"/>
      <c r="E12" s="16">
        <f>IFERROR(VLOOKUP(A12,' سهام'!$A$10:$M$100,13,0),0)</f>
        <v>301197150</v>
      </c>
      <c r="F12" s="16"/>
      <c r="G12" s="16">
        <v>354152856</v>
      </c>
      <c r="H12" s="16"/>
      <c r="I12" s="16">
        <f t="shared" si="0"/>
        <v>-52955706</v>
      </c>
      <c r="J12" s="16"/>
      <c r="K12" s="16">
        <v>1039256</v>
      </c>
      <c r="L12" s="16"/>
      <c r="M12" s="16">
        <v>11799793449</v>
      </c>
      <c r="N12" s="16"/>
      <c r="O12" s="16">
        <v>10927636755</v>
      </c>
      <c r="P12" s="16"/>
      <c r="Q12" s="16">
        <f t="shared" si="1"/>
        <v>872156694</v>
      </c>
    </row>
    <row r="13" spans="1:27" s="192" customFormat="1" ht="21.75">
      <c r="A13" s="192" t="s">
        <v>102</v>
      </c>
      <c r="B13" s="193"/>
      <c r="C13" s="16">
        <f>IFERROR(VLOOKUP(A13,' سهام'!$A$10:$M$100,12,0),0)</f>
        <v>0</v>
      </c>
      <c r="D13" s="16"/>
      <c r="E13" s="16">
        <f>IFERROR(VLOOKUP(A13,' سهام'!$A$10:$M$100,13,0),0)</f>
        <v>0</v>
      </c>
      <c r="F13" s="16"/>
      <c r="G13" s="16">
        <v>0</v>
      </c>
      <c r="H13" s="16"/>
      <c r="I13" s="16">
        <f t="shared" si="0"/>
        <v>0</v>
      </c>
      <c r="J13" s="16"/>
      <c r="K13" s="16">
        <v>51632</v>
      </c>
      <c r="L13" s="16"/>
      <c r="M13" s="16">
        <v>1395221188</v>
      </c>
      <c r="N13" s="16"/>
      <c r="O13" s="16">
        <v>1119596477</v>
      </c>
      <c r="P13" s="16"/>
      <c r="Q13" s="16">
        <f t="shared" si="1"/>
        <v>275624711</v>
      </c>
    </row>
    <row r="14" spans="1:27" s="192" customFormat="1" ht="21.75">
      <c r="A14" s="192" t="s">
        <v>90</v>
      </c>
      <c r="B14" s="193"/>
      <c r="C14" s="16">
        <f>IFERROR(VLOOKUP(A14,' سهام'!$A$10:$M$100,12,0),0)</f>
        <v>1090</v>
      </c>
      <c r="D14" s="16"/>
      <c r="E14" s="16">
        <f>IFERROR(VLOOKUP(A14,' سهام'!$A$10:$M$100,13,0),0)</f>
        <v>18972342</v>
      </c>
      <c r="F14" s="16"/>
      <c r="G14" s="16">
        <v>20200515</v>
      </c>
      <c r="H14" s="16"/>
      <c r="I14" s="16">
        <f t="shared" si="0"/>
        <v>-1228173</v>
      </c>
      <c r="J14" s="16"/>
      <c r="K14" s="16">
        <v>220115</v>
      </c>
      <c r="L14" s="16"/>
      <c r="M14" s="16">
        <v>3948660205</v>
      </c>
      <c r="N14" s="16"/>
      <c r="O14" s="16">
        <v>4130275251</v>
      </c>
      <c r="P14" s="16"/>
      <c r="Q14" s="16">
        <f t="shared" si="1"/>
        <v>-181615046</v>
      </c>
    </row>
    <row r="15" spans="1:27" s="192" customFormat="1" ht="21.75">
      <c r="A15" s="192" t="s">
        <v>93</v>
      </c>
      <c r="B15" s="193"/>
      <c r="C15" s="16">
        <f>IFERROR(VLOOKUP(A15,' سهام'!$A$10:$M$100,12,0),0)</f>
        <v>375994</v>
      </c>
      <c r="D15" s="16"/>
      <c r="E15" s="16">
        <f>IFERROR(VLOOKUP(A15,' سهام'!$A$10:$M$100,13,0),0)</f>
        <v>3093323533</v>
      </c>
      <c r="F15" s="16"/>
      <c r="G15" s="16">
        <v>3228026303</v>
      </c>
      <c r="H15" s="16"/>
      <c r="I15" s="16">
        <f t="shared" si="0"/>
        <v>-134702770</v>
      </c>
      <c r="J15" s="16"/>
      <c r="K15" s="16">
        <v>540398</v>
      </c>
      <c r="L15" s="16"/>
      <c r="M15" s="16">
        <v>4697446827</v>
      </c>
      <c r="N15" s="16"/>
      <c r="O15" s="16">
        <v>4809981641</v>
      </c>
      <c r="P15" s="16"/>
      <c r="Q15" s="16">
        <f t="shared" si="1"/>
        <v>-112534814</v>
      </c>
    </row>
    <row r="16" spans="1:27" s="192" customFormat="1" ht="21.75">
      <c r="A16" s="192" t="s">
        <v>89</v>
      </c>
      <c r="B16" s="193"/>
      <c r="C16" s="16">
        <f>IFERROR(VLOOKUP(A16,' سهام'!$A$10:$M$100,12,0),0)</f>
        <v>0</v>
      </c>
      <c r="D16" s="16"/>
      <c r="E16" s="16">
        <f>IFERROR(VLOOKUP(A16,' سهام'!$A$10:$M$100,13,0),0)</f>
        <v>0</v>
      </c>
      <c r="F16" s="16"/>
      <c r="G16" s="16">
        <v>0</v>
      </c>
      <c r="H16" s="16"/>
      <c r="I16" s="16">
        <f t="shared" si="0"/>
        <v>0</v>
      </c>
      <c r="J16" s="16"/>
      <c r="K16" s="16">
        <v>550039</v>
      </c>
      <c r="L16" s="16"/>
      <c r="M16" s="16">
        <v>12354115059</v>
      </c>
      <c r="N16" s="16"/>
      <c r="O16" s="16">
        <v>11186837847</v>
      </c>
      <c r="P16" s="16"/>
      <c r="Q16" s="16">
        <f t="shared" si="1"/>
        <v>1167277212</v>
      </c>
    </row>
    <row r="17" spans="1:17" s="192" customFormat="1" ht="21.75">
      <c r="A17" s="192" t="s">
        <v>113</v>
      </c>
      <c r="B17" s="193"/>
      <c r="C17" s="16">
        <f>IFERROR(VLOOKUP(A17,' سهام'!$A$10:$M$100,12,0),0)</f>
        <v>709352</v>
      </c>
      <c r="D17" s="16"/>
      <c r="E17" s="16">
        <f>IFERROR(VLOOKUP(A17,' سهام'!$A$10:$M$100,13,0),0)</f>
        <v>1881154782</v>
      </c>
      <c r="F17" s="16"/>
      <c r="G17" s="16">
        <v>2197920018</v>
      </c>
      <c r="H17" s="16"/>
      <c r="I17" s="16">
        <f t="shared" si="0"/>
        <v>-316765236</v>
      </c>
      <c r="J17" s="16"/>
      <c r="K17" s="16">
        <v>2662860</v>
      </c>
      <c r="L17" s="16"/>
      <c r="M17" s="16">
        <v>7343186167</v>
      </c>
      <c r="N17" s="16"/>
      <c r="O17" s="16">
        <v>8246910256</v>
      </c>
      <c r="P17" s="16"/>
      <c r="Q17" s="16">
        <f t="shared" si="1"/>
        <v>-903724089</v>
      </c>
    </row>
    <row r="18" spans="1:17" s="192" customFormat="1" ht="21.75">
      <c r="A18" s="192" t="s">
        <v>101</v>
      </c>
      <c r="B18" s="193"/>
      <c r="C18" s="16">
        <f>IFERROR(VLOOKUP(A18,' سهام'!$A$10:$M$100,12,0),0)</f>
        <v>0</v>
      </c>
      <c r="D18" s="16"/>
      <c r="E18" s="16">
        <f>IFERROR(VLOOKUP(A18,' سهام'!$A$10:$M$100,13,0),0)</f>
        <v>0</v>
      </c>
      <c r="F18" s="16"/>
      <c r="G18" s="16">
        <v>0</v>
      </c>
      <c r="H18" s="16"/>
      <c r="I18" s="16">
        <f t="shared" si="0"/>
        <v>0</v>
      </c>
      <c r="J18" s="16"/>
      <c r="K18" s="16">
        <v>397342</v>
      </c>
      <c r="L18" s="16"/>
      <c r="M18" s="16">
        <v>5619181440</v>
      </c>
      <c r="N18" s="16"/>
      <c r="O18" s="16">
        <v>5383547622</v>
      </c>
      <c r="P18" s="16"/>
      <c r="Q18" s="16">
        <f t="shared" si="1"/>
        <v>235633818</v>
      </c>
    </row>
    <row r="19" spans="1:17" s="192" customFormat="1" ht="21.75">
      <c r="A19" s="192" t="s">
        <v>103</v>
      </c>
      <c r="B19" s="193"/>
      <c r="C19" s="16">
        <f>IFERROR(VLOOKUP(A19,' سهام'!$A$10:$M$100,12,0),0)</f>
        <v>0</v>
      </c>
      <c r="D19" s="16"/>
      <c r="E19" s="16">
        <f>IFERROR(VLOOKUP(A19,' سهام'!$A$10:$M$100,13,0),0)</f>
        <v>0</v>
      </c>
      <c r="F19" s="16"/>
      <c r="G19" s="16">
        <v>0</v>
      </c>
      <c r="H19" s="16"/>
      <c r="I19" s="16">
        <f t="shared" si="0"/>
        <v>0</v>
      </c>
      <c r="J19" s="16"/>
      <c r="K19" s="16">
        <v>157022</v>
      </c>
      <c r="L19" s="16"/>
      <c r="M19" s="16">
        <v>2576720061</v>
      </c>
      <c r="N19" s="16"/>
      <c r="O19" s="16">
        <v>2274507427</v>
      </c>
      <c r="P19" s="16"/>
      <c r="Q19" s="16">
        <f t="shared" si="1"/>
        <v>302212634</v>
      </c>
    </row>
    <row r="20" spans="1:17" s="192" customFormat="1" ht="21.75">
      <c r="A20" s="192" t="s">
        <v>100</v>
      </c>
      <c r="B20" s="193"/>
      <c r="C20" s="16">
        <f>IFERROR(VLOOKUP(A20,' سهام'!$A$10:$M$100,12,0),0)</f>
        <v>0</v>
      </c>
      <c r="D20" s="16"/>
      <c r="E20" s="16">
        <f>IFERROR(VLOOKUP(A20,' سهام'!$A$10:$M$100,13,0),0)</f>
        <v>0</v>
      </c>
      <c r="F20" s="16"/>
      <c r="G20" s="16">
        <v>0</v>
      </c>
      <c r="H20" s="16"/>
      <c r="I20" s="16">
        <f t="shared" si="0"/>
        <v>0</v>
      </c>
      <c r="J20" s="16"/>
      <c r="K20" s="16">
        <v>14840979</v>
      </c>
      <c r="L20" s="16"/>
      <c r="M20" s="16">
        <v>76207760308</v>
      </c>
      <c r="N20" s="16"/>
      <c r="O20" s="16">
        <v>71388225970</v>
      </c>
      <c r="P20" s="16"/>
      <c r="Q20" s="16">
        <f t="shared" si="1"/>
        <v>4819534338</v>
      </c>
    </row>
    <row r="21" spans="1:17" s="192" customFormat="1" ht="21.75">
      <c r="A21" s="192" t="s">
        <v>106</v>
      </c>
      <c r="B21" s="193"/>
      <c r="C21" s="16">
        <f>IFERROR(VLOOKUP(A21,' سهام'!$A$10:$M$100,12,0),0)</f>
        <v>0</v>
      </c>
      <c r="D21" s="16"/>
      <c r="E21" s="16">
        <f>IFERROR(VLOOKUP(A21,' سهام'!$A$10:$M$100,13,0),0)</f>
        <v>0</v>
      </c>
      <c r="F21" s="16"/>
      <c r="G21" s="16">
        <v>0</v>
      </c>
      <c r="H21" s="16"/>
      <c r="I21" s="16">
        <f t="shared" si="0"/>
        <v>0</v>
      </c>
      <c r="J21" s="16"/>
      <c r="K21" s="16">
        <v>4559</v>
      </c>
      <c r="L21" s="16"/>
      <c r="M21" s="16">
        <v>111655142</v>
      </c>
      <c r="N21" s="16"/>
      <c r="O21" s="16">
        <v>119550839</v>
      </c>
      <c r="P21" s="16"/>
      <c r="Q21" s="16">
        <f t="shared" si="1"/>
        <v>-7895697</v>
      </c>
    </row>
    <row r="22" spans="1:17" s="192" customFormat="1" ht="21.75">
      <c r="A22" s="192" t="s">
        <v>104</v>
      </c>
      <c r="B22" s="193"/>
      <c r="C22" s="16">
        <f>IFERROR(VLOOKUP(A22,' سهام'!$A$10:$M$100,12,0),0)</f>
        <v>0</v>
      </c>
      <c r="D22" s="16"/>
      <c r="E22" s="16">
        <f>IFERROR(VLOOKUP(A22,' سهام'!$A$10:$M$100,13,0),0)</f>
        <v>0</v>
      </c>
      <c r="F22" s="16"/>
      <c r="G22" s="16">
        <v>0</v>
      </c>
      <c r="H22" s="16"/>
      <c r="I22" s="16">
        <f t="shared" si="0"/>
        <v>0</v>
      </c>
      <c r="J22" s="16"/>
      <c r="K22" s="16">
        <v>7881</v>
      </c>
      <c r="L22" s="16"/>
      <c r="M22" s="16">
        <v>722013777</v>
      </c>
      <c r="N22" s="16"/>
      <c r="O22" s="16">
        <v>627198694</v>
      </c>
      <c r="P22" s="16"/>
      <c r="Q22" s="16">
        <f t="shared" si="1"/>
        <v>94815083</v>
      </c>
    </row>
    <row r="23" spans="1:17" s="192" customFormat="1" ht="21.75">
      <c r="A23" s="192" t="s">
        <v>99</v>
      </c>
      <c r="B23" s="193"/>
      <c r="C23" s="16">
        <f>IFERROR(VLOOKUP(A23,' سهام'!$A$10:$M$100,12,0),0)</f>
        <v>10400</v>
      </c>
      <c r="D23" s="16"/>
      <c r="E23" s="16">
        <f>IFERROR(VLOOKUP(A23,' سهام'!$A$10:$M$100,13,0),0)</f>
        <v>301046057</v>
      </c>
      <c r="F23" s="16"/>
      <c r="G23" s="16">
        <v>324574443</v>
      </c>
      <c r="H23" s="16"/>
      <c r="I23" s="16">
        <f t="shared" si="0"/>
        <v>-23528386</v>
      </c>
      <c r="J23" s="16"/>
      <c r="K23" s="16">
        <v>34321</v>
      </c>
      <c r="L23" s="16"/>
      <c r="M23" s="16">
        <v>1084385524</v>
      </c>
      <c r="N23" s="16"/>
      <c r="O23" s="16">
        <v>1003654465</v>
      </c>
      <c r="P23" s="16"/>
      <c r="Q23" s="16">
        <f t="shared" si="1"/>
        <v>80731059</v>
      </c>
    </row>
    <row r="24" spans="1:17" s="192" customFormat="1" ht="21.75">
      <c r="A24" s="192" t="s">
        <v>107</v>
      </c>
      <c r="B24" s="193"/>
      <c r="C24" s="16">
        <f>IFERROR(VLOOKUP(A24,' سهام'!$A$10:$M$100,12,0),0)</f>
        <v>0</v>
      </c>
      <c r="D24" s="16"/>
      <c r="E24" s="16">
        <f>IFERROR(VLOOKUP(A24,' سهام'!$A$10:$M$100,13,0),0)</f>
        <v>0</v>
      </c>
      <c r="F24" s="16"/>
      <c r="G24" s="16">
        <v>0</v>
      </c>
      <c r="H24" s="16"/>
      <c r="I24" s="16">
        <f t="shared" si="0"/>
        <v>0</v>
      </c>
      <c r="J24" s="16"/>
      <c r="K24" s="16">
        <v>5650000</v>
      </c>
      <c r="L24" s="16"/>
      <c r="M24" s="16">
        <v>30879904020</v>
      </c>
      <c r="N24" s="16"/>
      <c r="O24" s="16">
        <v>30272301675</v>
      </c>
      <c r="P24" s="16"/>
      <c r="Q24" s="16">
        <f t="shared" si="1"/>
        <v>607602345</v>
      </c>
    </row>
    <row r="25" spans="1:17" s="192" customFormat="1" ht="21.75">
      <c r="A25" s="192" t="s">
        <v>112</v>
      </c>
      <c r="B25" s="193"/>
      <c r="C25" s="16">
        <f>IFERROR(VLOOKUP(A25,' سهام'!$A$10:$M$100,12,0),0)</f>
        <v>294100</v>
      </c>
      <c r="D25" s="16"/>
      <c r="E25" s="16">
        <f>IFERROR(VLOOKUP(A25,' سهام'!$A$10:$M$100,13,0),0)</f>
        <v>2605351275</v>
      </c>
      <c r="F25" s="16"/>
      <c r="G25" s="16">
        <v>2381072501</v>
      </c>
      <c r="H25" s="16"/>
      <c r="I25" s="16">
        <f t="shared" si="0"/>
        <v>224278774</v>
      </c>
      <c r="J25" s="16"/>
      <c r="K25" s="16">
        <v>387330</v>
      </c>
      <c r="L25" s="16"/>
      <c r="M25" s="16">
        <v>3399842917</v>
      </c>
      <c r="N25" s="16"/>
      <c r="O25" s="16">
        <v>3137902249</v>
      </c>
      <c r="P25" s="16"/>
      <c r="Q25" s="16">
        <f t="shared" si="1"/>
        <v>261940668</v>
      </c>
    </row>
    <row r="26" spans="1:17" s="192" customFormat="1" ht="21.75">
      <c r="A26" s="192" t="s">
        <v>125</v>
      </c>
      <c r="B26" s="193"/>
      <c r="C26" s="16">
        <f>IFERROR(VLOOKUP(A26,' سهام'!$A$10:$M$100,12,0),0)</f>
        <v>41440</v>
      </c>
      <c r="D26" s="16"/>
      <c r="E26" s="16">
        <f>IFERROR(VLOOKUP(A26,' سهام'!$A$10:$M$100,13,0),0)</f>
        <v>507468115</v>
      </c>
      <c r="F26" s="16"/>
      <c r="G26" s="16">
        <v>538825436</v>
      </c>
      <c r="H26" s="16"/>
      <c r="I26" s="16">
        <f t="shared" si="0"/>
        <v>-31357321</v>
      </c>
      <c r="J26" s="16"/>
      <c r="K26" s="16">
        <v>140726</v>
      </c>
      <c r="L26" s="16"/>
      <c r="M26" s="16">
        <v>1774926111</v>
      </c>
      <c r="N26" s="16"/>
      <c r="O26" s="16">
        <v>1832662155</v>
      </c>
      <c r="P26" s="16"/>
      <c r="Q26" s="16">
        <f t="shared" si="1"/>
        <v>-57736044</v>
      </c>
    </row>
    <row r="27" spans="1:17" s="192" customFormat="1" ht="21.75">
      <c r="A27" s="192" t="s">
        <v>128</v>
      </c>
      <c r="B27" s="193"/>
      <c r="C27" s="16">
        <f>IFERROR(VLOOKUP(A27,' سهام'!$A$10:$M$100,12,0),0)</f>
        <v>1000000</v>
      </c>
      <c r="D27" s="16"/>
      <c r="E27" s="16">
        <f>IFERROR(VLOOKUP(A27,' سهام'!$A$10:$M$100,13,0),0)</f>
        <v>1007986627</v>
      </c>
      <c r="F27" s="16"/>
      <c r="G27" s="16">
        <v>1202730040</v>
      </c>
      <c r="H27" s="16"/>
      <c r="I27" s="16">
        <f t="shared" si="0"/>
        <v>-194743413</v>
      </c>
      <c r="J27" s="16"/>
      <c r="K27" s="16">
        <v>3230054</v>
      </c>
      <c r="L27" s="16"/>
      <c r="M27" s="16">
        <v>3502911920</v>
      </c>
      <c r="N27" s="16"/>
      <c r="O27" s="16">
        <v>3886861033</v>
      </c>
      <c r="P27" s="16"/>
      <c r="Q27" s="16">
        <f t="shared" si="1"/>
        <v>-383949113</v>
      </c>
    </row>
    <row r="28" spans="1:17" s="192" customFormat="1" ht="21.75">
      <c r="A28" s="192" t="s">
        <v>130</v>
      </c>
      <c r="B28" s="193"/>
      <c r="C28" s="16">
        <f>IFERROR(VLOOKUP(A28,' سهام'!$A$10:$M$100,12,0),0)</f>
        <v>0</v>
      </c>
      <c r="D28" s="16"/>
      <c r="E28" s="16">
        <f>IFERROR(VLOOKUP(A28,' سهام'!$A$10:$M$100,13,0),0)</f>
        <v>0</v>
      </c>
      <c r="F28" s="16"/>
      <c r="G28" s="16">
        <v>0</v>
      </c>
      <c r="H28" s="16"/>
      <c r="I28" s="16">
        <f t="shared" si="0"/>
        <v>0</v>
      </c>
      <c r="J28" s="16"/>
      <c r="K28" s="16">
        <v>200000</v>
      </c>
      <c r="L28" s="16"/>
      <c r="M28" s="16">
        <v>2401624842</v>
      </c>
      <c r="N28" s="16"/>
      <c r="O28" s="16">
        <v>1691534520</v>
      </c>
      <c r="P28" s="16"/>
      <c r="Q28" s="16">
        <f t="shared" si="1"/>
        <v>710090322</v>
      </c>
    </row>
    <row r="29" spans="1:17" s="192" customFormat="1" ht="21.75">
      <c r="A29" s="192" t="s">
        <v>126</v>
      </c>
      <c r="B29" s="193"/>
      <c r="C29" s="16">
        <f>IFERROR(VLOOKUP(A29,' سهام'!$A$10:$M$100,12,0),0)</f>
        <v>219710</v>
      </c>
      <c r="D29" s="16"/>
      <c r="E29" s="16">
        <f>IFERROR(VLOOKUP(A29,' سهام'!$A$10:$M$100,13,0),0)</f>
        <v>4061337040</v>
      </c>
      <c r="F29" s="16"/>
      <c r="G29" s="16">
        <v>4544796265</v>
      </c>
      <c r="H29" s="16"/>
      <c r="I29" s="16">
        <f t="shared" si="0"/>
        <v>-483459225</v>
      </c>
      <c r="J29" s="16"/>
      <c r="K29" s="16">
        <v>600000</v>
      </c>
      <c r="L29" s="16"/>
      <c r="M29" s="16">
        <v>14514620253</v>
      </c>
      <c r="N29" s="16"/>
      <c r="O29" s="16">
        <v>12411259200</v>
      </c>
      <c r="P29" s="16"/>
      <c r="Q29" s="16">
        <f t="shared" si="1"/>
        <v>2103361053</v>
      </c>
    </row>
    <row r="30" spans="1:17" s="192" customFormat="1" ht="21.75">
      <c r="A30" s="192" t="s">
        <v>129</v>
      </c>
      <c r="B30" s="193"/>
      <c r="C30" s="16">
        <f>IFERROR(VLOOKUP(A30,' سهام'!$A$10:$M$100,12,0),0)</f>
        <v>0</v>
      </c>
      <c r="D30" s="16"/>
      <c r="E30" s="16">
        <f>IFERROR(VLOOKUP(A30,' سهام'!$A$10:$M$100,13,0),0)</f>
        <v>0</v>
      </c>
      <c r="F30" s="16"/>
      <c r="G30" s="16">
        <v>0</v>
      </c>
      <c r="H30" s="16"/>
      <c r="I30" s="16">
        <f>E30-G30</f>
        <v>0</v>
      </c>
      <c r="J30" s="16"/>
      <c r="K30" s="16">
        <v>114500</v>
      </c>
      <c r="L30" s="16"/>
      <c r="M30" s="16">
        <v>9197157308</v>
      </c>
      <c r="N30" s="16"/>
      <c r="O30" s="16">
        <v>7563861753</v>
      </c>
      <c r="P30" s="16"/>
      <c r="Q30" s="16">
        <f t="shared" si="1"/>
        <v>1633295555</v>
      </c>
    </row>
    <row r="31" spans="1:17" s="192" customFormat="1" ht="21.75">
      <c r="A31" s="192" t="s">
        <v>127</v>
      </c>
      <c r="B31" s="193"/>
      <c r="C31" s="16">
        <f>IFERROR(VLOOKUP(A31,' سهام'!$A$10:$M$100,12,0),0)</f>
        <v>0</v>
      </c>
      <c r="D31" s="16"/>
      <c r="E31" s="16">
        <f>IFERROR(VLOOKUP(A31,' سهام'!$A$10:$M$100,13,0),0)</f>
        <v>0</v>
      </c>
      <c r="F31" s="16"/>
      <c r="G31" s="16">
        <v>0</v>
      </c>
      <c r="H31" s="16"/>
      <c r="I31" s="16">
        <f t="shared" si="0"/>
        <v>0</v>
      </c>
      <c r="J31" s="16"/>
      <c r="K31" s="16">
        <v>7426</v>
      </c>
      <c r="L31" s="16"/>
      <c r="M31" s="16">
        <v>158738837</v>
      </c>
      <c r="N31" s="16"/>
      <c r="O31" s="16">
        <v>128331099</v>
      </c>
      <c r="P31" s="16"/>
      <c r="Q31" s="16">
        <f t="shared" si="1"/>
        <v>30407738</v>
      </c>
    </row>
    <row r="32" spans="1:17" s="192" customFormat="1" ht="21.75">
      <c r="A32" s="192" t="s">
        <v>149</v>
      </c>
      <c r="B32" s="193"/>
      <c r="C32" s="16">
        <f>IFERROR(VLOOKUP(A32,' سهام'!$A$10:$M$100,12,0),0)</f>
        <v>0</v>
      </c>
      <c r="D32" s="16"/>
      <c r="E32" s="16">
        <f>IFERROR(VLOOKUP(A32,' سهام'!$A$10:$M$100,13,0),0)</f>
        <v>0</v>
      </c>
      <c r="F32" s="16"/>
      <c r="G32" s="16">
        <v>0</v>
      </c>
      <c r="H32" s="16"/>
      <c r="I32" s="16">
        <f t="shared" si="0"/>
        <v>0</v>
      </c>
      <c r="J32" s="16"/>
      <c r="K32" s="16">
        <v>9401</v>
      </c>
      <c r="L32" s="16"/>
      <c r="M32" s="16">
        <v>175530235</v>
      </c>
      <c r="N32" s="16"/>
      <c r="O32" s="16">
        <v>182673364</v>
      </c>
      <c r="P32" s="16"/>
      <c r="Q32" s="16">
        <f t="shared" si="1"/>
        <v>-7143129</v>
      </c>
    </row>
    <row r="33" spans="1:17" s="192" customFormat="1" ht="21.75">
      <c r="A33" s="192" t="s">
        <v>160</v>
      </c>
      <c r="B33" s="193"/>
      <c r="C33" s="16">
        <f>IFERROR(VLOOKUP(A33,' سهام'!$A$10:$M$100,12,0),0)</f>
        <v>0</v>
      </c>
      <c r="D33" s="16"/>
      <c r="E33" s="16">
        <f>IFERROR(VLOOKUP(A33,' سهام'!$A$10:$M$100,13,0),0)</f>
        <v>0</v>
      </c>
      <c r="F33" s="16"/>
      <c r="G33" s="16">
        <v>0</v>
      </c>
      <c r="H33" s="16"/>
      <c r="I33" s="16">
        <f t="shared" si="0"/>
        <v>0</v>
      </c>
      <c r="J33" s="16"/>
      <c r="K33" s="16">
        <v>29443</v>
      </c>
      <c r="L33" s="16"/>
      <c r="M33" s="16">
        <v>194822669</v>
      </c>
      <c r="N33" s="16"/>
      <c r="O33" s="16">
        <v>320949162</v>
      </c>
      <c r="P33" s="16"/>
      <c r="Q33" s="16">
        <f t="shared" si="1"/>
        <v>-126126493</v>
      </c>
    </row>
    <row r="34" spans="1:17" s="192" customFormat="1" ht="21.75">
      <c r="A34" s="192" t="s">
        <v>108</v>
      </c>
      <c r="B34" s="193"/>
      <c r="C34" s="16">
        <f>IFERROR(VLOOKUP(A34,اوراق!$A$9:$W$50,22,0),0)</f>
        <v>3000</v>
      </c>
      <c r="D34" s="16"/>
      <c r="E34" s="16">
        <f>IFERROR(VLOOKUP(A34,اوراق!$A$9:$AG$50,23,0),0)</f>
        <v>2198901381</v>
      </c>
      <c r="F34" s="16"/>
      <c r="G34" s="16">
        <v>2082373207</v>
      </c>
      <c r="H34" s="16"/>
      <c r="I34" s="16">
        <f t="shared" si="0"/>
        <v>116528174</v>
      </c>
      <c r="J34" s="16"/>
      <c r="K34" s="16">
        <v>6500</v>
      </c>
      <c r="L34" s="16"/>
      <c r="M34" s="16">
        <v>4649416185</v>
      </c>
      <c r="N34" s="16"/>
      <c r="O34" s="16">
        <v>4511808615</v>
      </c>
      <c r="P34" s="16"/>
      <c r="Q34" s="16">
        <f t="shared" si="1"/>
        <v>137607570</v>
      </c>
    </row>
    <row r="35" spans="1:17" s="192" customFormat="1" ht="21.75">
      <c r="A35" s="192" t="s">
        <v>114</v>
      </c>
      <c r="B35" s="193"/>
      <c r="C35" s="16">
        <f>IFERROR(VLOOKUP(A35,اوراق!$A$9:$W$50,22,0),0)</f>
        <v>1400</v>
      </c>
      <c r="D35" s="16"/>
      <c r="E35" s="16">
        <f>IFERROR(VLOOKUP(A35,اوراق!$A$9:$AG$50,23,0),0)</f>
        <v>1005017812</v>
      </c>
      <c r="F35" s="16"/>
      <c r="G35" s="16">
        <v>943759816</v>
      </c>
      <c r="H35" s="16"/>
      <c r="I35" s="16">
        <f t="shared" si="0"/>
        <v>61257996</v>
      </c>
      <c r="J35" s="16"/>
      <c r="K35" s="16">
        <v>15780</v>
      </c>
      <c r="L35" s="16"/>
      <c r="M35" s="16">
        <v>10740494747</v>
      </c>
      <c r="N35" s="16"/>
      <c r="O35" s="16">
        <v>10637521353</v>
      </c>
      <c r="P35" s="16"/>
      <c r="Q35" s="16">
        <f t="shared" si="1"/>
        <v>102973394</v>
      </c>
    </row>
    <row r="36" spans="1:17" s="192" customFormat="1" ht="21.75">
      <c r="A36" s="192" t="s">
        <v>115</v>
      </c>
      <c r="B36" s="193"/>
      <c r="C36" s="16">
        <f>IFERROR(VLOOKUP(A36,اوراق!$A$9:$W$50,22,0),0)</f>
        <v>24300</v>
      </c>
      <c r="D36" s="16"/>
      <c r="E36" s="16">
        <f>IFERROR(VLOOKUP(A36,اوراق!$A$9:$AG$50,23,0),0)</f>
        <v>16266631247</v>
      </c>
      <c r="F36" s="16"/>
      <c r="G36" s="16">
        <v>15809937367</v>
      </c>
      <c r="H36" s="16"/>
      <c r="I36" s="16">
        <f t="shared" si="0"/>
        <v>456693880</v>
      </c>
      <c r="J36" s="16"/>
      <c r="K36" s="16">
        <v>29100</v>
      </c>
      <c r="L36" s="16"/>
      <c r="M36" s="16">
        <v>19465077430</v>
      </c>
      <c r="N36" s="16"/>
      <c r="O36" s="16">
        <v>18932887958</v>
      </c>
      <c r="P36" s="16"/>
      <c r="Q36" s="16">
        <f t="shared" si="1"/>
        <v>532189472</v>
      </c>
    </row>
    <row r="37" spans="1:17" s="192" customFormat="1" ht="21.75">
      <c r="A37" s="192" t="s">
        <v>116</v>
      </c>
      <c r="B37" s="193"/>
      <c r="C37" s="16">
        <f>IFERROR(VLOOKUP(A37,اوراق!$A$9:$W$50,22,0),0)</f>
        <v>15000</v>
      </c>
      <c r="D37" s="16"/>
      <c r="E37" s="16">
        <f>IFERROR(VLOOKUP(A37,اوراق!$A$9:$AG$50,23,0),0)</f>
        <v>8068237368</v>
      </c>
      <c r="F37" s="16"/>
      <c r="G37" s="16">
        <v>8228791197</v>
      </c>
      <c r="H37" s="16"/>
      <c r="I37" s="16">
        <f t="shared" si="0"/>
        <v>-160553829</v>
      </c>
      <c r="J37" s="16"/>
      <c r="K37" s="16">
        <v>15000</v>
      </c>
      <c r="L37" s="16"/>
      <c r="M37" s="16">
        <v>8068237368</v>
      </c>
      <c r="N37" s="16"/>
      <c r="O37" s="16">
        <v>8228791197</v>
      </c>
      <c r="P37" s="16"/>
      <c r="Q37" s="16">
        <f t="shared" si="1"/>
        <v>-160553829</v>
      </c>
    </row>
    <row r="38" spans="1:17" ht="22.5" thickBot="1">
      <c r="A38" s="56" t="s">
        <v>2</v>
      </c>
      <c r="B38" s="56"/>
      <c r="C38" s="56"/>
      <c r="E38" s="120">
        <f>SUM(E7:E37)</f>
        <v>49722595242</v>
      </c>
      <c r="F38" s="16"/>
      <c r="G38" s="120">
        <f>SUM(G7:G37)</f>
        <v>50193654226</v>
      </c>
      <c r="H38" s="16"/>
      <c r="I38" s="120">
        <f>SUM(I7:I37)</f>
        <v>-471058984</v>
      </c>
      <c r="J38" s="116"/>
      <c r="K38" s="49"/>
      <c r="L38" s="121"/>
      <c r="M38" s="120">
        <f>SUM(M7:M37)</f>
        <v>280795714846</v>
      </c>
      <c r="N38" s="16"/>
      <c r="O38" s="120">
        <f>SUM(O7:O37)</f>
        <v>267917991226</v>
      </c>
      <c r="P38" s="16"/>
      <c r="Q38" s="120">
        <f>SUM(Q7:Q37)</f>
        <v>12877723620</v>
      </c>
    </row>
    <row r="39" spans="1:17" ht="23.25" thickTop="1">
      <c r="E39" s="50"/>
      <c r="F39" s="1"/>
      <c r="G39" s="50"/>
      <c r="H39" s="50"/>
      <c r="I39" s="50"/>
      <c r="J39" s="1"/>
      <c r="K39" s="1"/>
      <c r="L39" s="1"/>
      <c r="M39" s="52"/>
      <c r="N39" s="1"/>
      <c r="O39" s="52"/>
      <c r="P39" s="1"/>
      <c r="Q39" s="52"/>
    </row>
    <row r="40" spans="1:17" ht="22.5">
      <c r="E40" s="50"/>
      <c r="F40" s="1"/>
      <c r="G40" s="50"/>
      <c r="H40" s="1"/>
      <c r="I40" s="50"/>
      <c r="J40" s="1"/>
      <c r="K40" s="1"/>
      <c r="L40" s="1"/>
      <c r="M40" s="50"/>
      <c r="N40" s="1"/>
      <c r="O40" s="50"/>
      <c r="P40" s="1"/>
      <c r="Q40" s="50"/>
    </row>
    <row r="41" spans="1:17" ht="10.5" customHeight="1">
      <c r="A41" s="66"/>
      <c r="B41" s="66"/>
      <c r="C41" s="66"/>
      <c r="D41" s="66"/>
      <c r="E41" s="45"/>
      <c r="F41" s="45"/>
      <c r="G41" s="45"/>
      <c r="H41" s="45"/>
      <c r="I41" s="2"/>
      <c r="J41" s="2"/>
      <c r="K41" s="2"/>
      <c r="L41" s="2"/>
      <c r="M41" s="2"/>
      <c r="N41" s="2"/>
      <c r="O41" s="2"/>
      <c r="P41" s="2"/>
      <c r="Q41" s="2"/>
    </row>
    <row r="42" spans="1:17" ht="21.75">
      <c r="A42" s="340" t="s">
        <v>40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2"/>
    </row>
    <row r="43" spans="1:17" ht="6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7" s="16" customFormat="1" ht="18" customHeight="1"/>
    <row r="45" spans="1:17" s="16" customFormat="1" ht="18" customHeight="1"/>
    <row r="46" spans="1:17" s="16" customFormat="1" ht="18" customHeight="1"/>
    <row r="47" spans="1:17" s="16" customFormat="1" ht="18" customHeight="1"/>
    <row r="48" spans="1:17" s="16" customFormat="1" ht="18" customHeight="1"/>
    <row r="49" spans="3:20" s="16" customFormat="1" ht="18" customHeight="1"/>
    <row r="50" spans="3:20" s="16" customFormat="1" ht="18" customHeight="1"/>
    <row r="51" spans="3:20" s="16" customFormat="1" ht="21.75"/>
    <row r="52" spans="3:20" s="16" customFormat="1" ht="21.75"/>
    <row r="53" spans="3:20" s="16" customFormat="1" ht="21.75"/>
    <row r="54" spans="3:20" s="16" customFormat="1" ht="21.75"/>
    <row r="55" spans="3:20" s="16" customFormat="1" ht="21.75"/>
    <row r="56" spans="3:20" ht="27">
      <c r="C56" s="70"/>
      <c r="F56" s="1"/>
      <c r="G56" s="1"/>
      <c r="H56" s="1"/>
      <c r="I56" s="70"/>
      <c r="J56" s="1"/>
      <c r="K56" s="70"/>
      <c r="L56" s="1"/>
      <c r="M56" s="119"/>
      <c r="N56" s="1"/>
      <c r="O56" s="1"/>
      <c r="P56" s="1"/>
      <c r="Q56" s="34"/>
    </row>
    <row r="57" spans="3:20" s="34" customFormat="1" ht="24"/>
    <row r="58" spans="3:20" s="34" customFormat="1" ht="27">
      <c r="E58" s="115"/>
    </row>
    <row r="59" spans="3:20" s="34" customFormat="1" ht="24">
      <c r="E59" s="123"/>
    </row>
    <row r="60" spans="3:20" s="34" customFormat="1" ht="24">
      <c r="E60" s="123"/>
      <c r="R60" s="60"/>
    </row>
    <row r="61" spans="3:20" s="34" customFormat="1" ht="24">
      <c r="R61" s="60"/>
      <c r="T61" s="123"/>
    </row>
    <row r="62" spans="3:20" s="34" customFormat="1" ht="24">
      <c r="R62" s="60"/>
      <c r="T62" s="123"/>
    </row>
    <row r="63" spans="3:20" ht="24">
      <c r="E63" s="1"/>
      <c r="F63" s="1"/>
      <c r="G63" s="34"/>
      <c r="H63" s="34"/>
      <c r="I63" s="34"/>
      <c r="J63" s="34"/>
      <c r="K63" s="34"/>
      <c r="L63" s="34"/>
      <c r="M63" s="34"/>
      <c r="N63" s="1"/>
      <c r="O63" s="1"/>
      <c r="P63" s="1"/>
      <c r="Q63" s="123"/>
      <c r="R63" s="60"/>
      <c r="T63" s="123"/>
    </row>
    <row r="64" spans="3:20" ht="24">
      <c r="G64" s="34"/>
      <c r="H64" s="34"/>
      <c r="I64" s="34"/>
      <c r="J64" s="34"/>
      <c r="K64" s="34"/>
      <c r="L64" s="34"/>
      <c r="M64" s="34"/>
      <c r="Q64" s="123"/>
      <c r="R64" s="60"/>
    </row>
    <row r="65" spans="7:20" ht="24">
      <c r="G65" s="34"/>
      <c r="H65" s="34"/>
      <c r="I65" s="34"/>
      <c r="J65" s="34"/>
      <c r="K65" s="34"/>
      <c r="L65" s="34"/>
      <c r="M65" s="34"/>
      <c r="Q65" s="123"/>
      <c r="R65" s="83"/>
      <c r="T65" s="83"/>
    </row>
    <row r="66" spans="7:20" ht="24">
      <c r="I66" s="123"/>
      <c r="Q66" s="34"/>
      <c r="R66" s="122"/>
    </row>
  </sheetData>
  <autoFilter ref="A6:Q6" xr:uid="{00000000-0009-0000-0000-000007000000}">
    <sortState xmlns:xlrd2="http://schemas.microsoft.com/office/spreadsheetml/2017/richdata2" ref="A7:Q20">
      <sortCondition ref="A6"/>
    </sortState>
  </autoFilter>
  <sortState xmlns:xlrd2="http://schemas.microsoft.com/office/spreadsheetml/2017/richdata2" ref="T7:U59">
    <sortCondition descending="1" ref="T6:T59"/>
  </sortState>
  <mergeCells count="8">
    <mergeCell ref="A1:Q1"/>
    <mergeCell ref="A2:Q2"/>
    <mergeCell ref="A3:Q3"/>
    <mergeCell ref="A42:Q42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84" fitToHeight="0" orientation="landscape" r:id="rId1"/>
  <rowBreaks count="1" manualBreakCount="1">
    <brk id="4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Y57"/>
  <sheetViews>
    <sheetView rightToLeft="1" view="pageBreakPreview" zoomScaleNormal="100" zoomScaleSheetLayoutView="100" workbookViewId="0">
      <selection activeCell="S9" sqref="S9"/>
    </sheetView>
  </sheetViews>
  <sheetFormatPr defaultColWidth="9.140625" defaultRowHeight="21.75"/>
  <cols>
    <col min="1" max="1" width="35.28515625" style="1" bestFit="1" customWidth="1"/>
    <col min="2" max="2" width="0.5703125" style="1" customWidth="1"/>
    <col min="3" max="3" width="20.28515625" style="2" bestFit="1" customWidth="1"/>
    <col min="4" max="4" width="0.85546875" style="2" customWidth="1"/>
    <col min="5" max="5" width="25.7109375" style="2" bestFit="1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8" width="10" style="1" customWidth="1"/>
    <col min="19" max="19" width="17" style="1" bestFit="1" customWidth="1"/>
    <col min="20" max="20" width="13.140625" style="1" customWidth="1"/>
    <col min="21" max="21" width="15.5703125" style="17" bestFit="1" customWidth="1"/>
    <col min="22" max="22" width="14.42578125" style="1" bestFit="1" customWidth="1"/>
    <col min="23" max="23" width="13" style="1" bestFit="1" customWidth="1"/>
    <col min="24" max="24" width="13.140625" style="1" bestFit="1" customWidth="1"/>
    <col min="25" max="25" width="14.28515625" style="1" bestFit="1" customWidth="1"/>
    <col min="26" max="16384" width="9.140625" style="1"/>
  </cols>
  <sheetData>
    <row r="1" spans="1:25" ht="22.5">
      <c r="A1" s="325" t="s">
        <v>87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25" ht="22.5">
      <c r="A2" s="325" t="s">
        <v>52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25" ht="22.5">
      <c r="A3" s="325" t="str">
        <f>' سهام'!$A$3</f>
        <v>برای ماه منتهی به 1403/03/31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25">
      <c r="A4" s="326" t="s">
        <v>59</v>
      </c>
      <c r="B4" s="326"/>
      <c r="C4" s="326"/>
      <c r="D4" s="326"/>
      <c r="E4" s="326"/>
      <c r="F4" s="326"/>
      <c r="G4" s="326"/>
      <c r="H4" s="326"/>
    </row>
    <row r="5" spans="1:25" ht="21" customHeight="1" thickBot="1">
      <c r="A5" s="61"/>
      <c r="B5" s="61"/>
      <c r="C5" s="343" t="str">
        <f>'درآمد سرمایه گذاری در سهام '!C7</f>
        <v>طی خرداد ماه</v>
      </c>
      <c r="D5" s="343"/>
      <c r="E5" s="343"/>
      <c r="F5" s="343"/>
      <c r="G5" s="343"/>
      <c r="H5" s="343"/>
      <c r="I5" s="343"/>
      <c r="K5" s="343" t="str">
        <f>'درآمد سرمایه گذاری در سهام '!M7</f>
        <v>از ابتدای سال مالی تا پایان خرداد ماه</v>
      </c>
      <c r="L5" s="343"/>
      <c r="M5" s="343"/>
      <c r="N5" s="343"/>
      <c r="O5" s="343"/>
      <c r="P5" s="343"/>
      <c r="Q5" s="343"/>
    </row>
    <row r="6" spans="1:25" ht="27" customHeight="1" thickBot="1">
      <c r="A6" s="67" t="s">
        <v>33</v>
      </c>
      <c r="B6" s="67"/>
      <c r="C6" s="27" t="s">
        <v>3</v>
      </c>
      <c r="D6" s="28"/>
      <c r="E6" s="29" t="s">
        <v>18</v>
      </c>
      <c r="F6" s="28"/>
      <c r="G6" s="27" t="s">
        <v>38</v>
      </c>
      <c r="H6" s="28"/>
      <c r="I6" s="30" t="s">
        <v>39</v>
      </c>
      <c r="K6" s="27" t="s">
        <v>3</v>
      </c>
      <c r="L6" s="28"/>
      <c r="M6" s="29" t="s">
        <v>18</v>
      </c>
      <c r="N6" s="28"/>
      <c r="O6" s="27" t="s">
        <v>38</v>
      </c>
      <c r="P6" s="28"/>
      <c r="Q6" s="30" t="s">
        <v>39</v>
      </c>
    </row>
    <row r="7" spans="1:25" s="66" customFormat="1" ht="21.75" customHeight="1">
      <c r="A7" s="190" t="s">
        <v>149</v>
      </c>
      <c r="C7" s="16">
        <f>IFERROR(VLOOKUP(A7,' سهام'!$A$10:$U$100,15,0),0)</f>
        <v>67316</v>
      </c>
      <c r="D7" s="16"/>
      <c r="E7" s="16">
        <f>IFERROR(VLOOKUP(A7,' سهام'!$A$10:$U$100,21,0),0)</f>
        <v>1079346531</v>
      </c>
      <c r="F7" s="16" t="s">
        <v>124</v>
      </c>
      <c r="G7" s="16">
        <v>1152284394</v>
      </c>
      <c r="H7" s="16"/>
      <c r="I7" s="16">
        <f>E7-G7</f>
        <v>-72937863</v>
      </c>
      <c r="J7" s="16"/>
      <c r="K7" s="16">
        <f>IFERROR(VLOOKUP(A7,' سهام'!$A$10:$U$100,15,0),0)</f>
        <v>67316</v>
      </c>
      <c r="L7" s="16"/>
      <c r="M7" s="16">
        <f>IFERROR(VLOOKUP(A7,' سهام'!$A$10:$U$100,21,0),0)</f>
        <v>1079346531</v>
      </c>
      <c r="N7" s="16"/>
      <c r="O7" s="16">
        <v>1308035336</v>
      </c>
      <c r="P7" s="16"/>
      <c r="Q7" s="16">
        <f>M7-O7</f>
        <v>-228688805</v>
      </c>
      <c r="R7" s="77"/>
      <c r="S7" s="191"/>
      <c r="T7" s="77"/>
      <c r="U7" s="45"/>
      <c r="V7" s="45"/>
      <c r="W7" s="77"/>
      <c r="X7" s="77"/>
      <c r="Y7" s="77"/>
    </row>
    <row r="8" spans="1:25" s="66" customFormat="1" ht="21.75" customHeight="1">
      <c r="A8" s="190" t="s">
        <v>127</v>
      </c>
      <c r="C8" s="16">
        <f>IFERROR(VLOOKUP(A8,' سهام'!$A$10:$U$100,15,0),0)</f>
        <v>64886</v>
      </c>
      <c r="D8" s="16"/>
      <c r="E8" s="16">
        <f>IFERROR(VLOOKUP(A8,' سهام'!$A$10:$U$100,21,0),0)</f>
        <v>1268068595</v>
      </c>
      <c r="F8" s="16"/>
      <c r="G8" s="16">
        <v>1474468366</v>
      </c>
      <c r="H8" s="16"/>
      <c r="I8" s="16">
        <f t="shared" ref="I8:I32" si="0">E8-G8</f>
        <v>-206399771</v>
      </c>
      <c r="J8" s="16"/>
      <c r="K8" s="16">
        <f>IFERROR(VLOOKUP(A8,' سهام'!$A$10:$U$100,15,0),0)</f>
        <v>64886</v>
      </c>
      <c r="L8" s="16"/>
      <c r="M8" s="16">
        <f>IFERROR(VLOOKUP(A8,' سهام'!$A$10:$U$100,21,0),0)</f>
        <v>1268068595</v>
      </c>
      <c r="N8" s="16"/>
      <c r="O8" s="16">
        <v>1121315880</v>
      </c>
      <c r="P8" s="16"/>
      <c r="Q8" s="16">
        <f t="shared" ref="Q8:Q32" si="1">M8-O8</f>
        <v>146752715</v>
      </c>
      <c r="R8" s="77"/>
      <c r="S8" s="191"/>
      <c r="T8" s="77"/>
      <c r="U8" s="45"/>
      <c r="V8" s="45"/>
      <c r="W8" s="77"/>
      <c r="X8" s="77"/>
      <c r="Y8" s="77"/>
    </row>
    <row r="9" spans="1:25" s="66" customFormat="1" ht="21.75" customHeight="1">
      <c r="A9" s="190" t="s">
        <v>99</v>
      </c>
      <c r="C9" s="16">
        <f>IFERROR(VLOOKUP(A9,' سهام'!$A$10:$U$100,15,0),0)</f>
        <v>33444</v>
      </c>
      <c r="D9" s="16"/>
      <c r="E9" s="16">
        <f>IFERROR(VLOOKUP(A9,' سهام'!$A$10:$U$100,21,0),0)</f>
        <v>1007323751</v>
      </c>
      <c r="F9" s="16"/>
      <c r="G9" s="16">
        <v>982919406</v>
      </c>
      <c r="H9" s="16"/>
      <c r="I9" s="16">
        <f t="shared" si="0"/>
        <v>24404345</v>
      </c>
      <c r="J9" s="16"/>
      <c r="K9" s="16">
        <f>IFERROR(VLOOKUP(A9,' سهام'!$A$10:$U$100,15,0),0)</f>
        <v>33444</v>
      </c>
      <c r="L9" s="16"/>
      <c r="M9" s="16">
        <f>IFERROR(VLOOKUP(A9,' سهام'!$A$10:$U$100,21,0),0)</f>
        <v>1007323751</v>
      </c>
      <c r="N9" s="16"/>
      <c r="O9" s="16">
        <v>1043756510</v>
      </c>
      <c r="P9" s="16"/>
      <c r="Q9" s="16">
        <f t="shared" si="1"/>
        <v>-36432759</v>
      </c>
      <c r="R9" s="77"/>
      <c r="S9" s="191"/>
      <c r="T9" s="77"/>
      <c r="U9" s="45"/>
      <c r="V9" s="45"/>
      <c r="W9" s="77"/>
      <c r="X9" s="77"/>
      <c r="Y9" s="77"/>
    </row>
    <row r="10" spans="1:25" s="66" customFormat="1" ht="21.75" customHeight="1">
      <c r="A10" s="190" t="s">
        <v>105</v>
      </c>
      <c r="C10" s="16">
        <f>IFERROR(VLOOKUP(A10,' سهام'!$A$10:$U$100,15,0),0)</f>
        <v>36974</v>
      </c>
      <c r="D10" s="16"/>
      <c r="E10" s="16">
        <f>IFERROR(VLOOKUP(A10,' سهام'!$A$10:$U$100,21,0),0)</f>
        <v>807117947</v>
      </c>
      <c r="F10" s="16"/>
      <c r="G10" s="16">
        <v>790578645</v>
      </c>
      <c r="H10" s="16"/>
      <c r="I10" s="16">
        <f t="shared" si="0"/>
        <v>16539302</v>
      </c>
      <c r="J10" s="16"/>
      <c r="K10" s="16">
        <f>IFERROR(VLOOKUP(A10,' سهام'!$A$10:$U$100,15,0),0)</f>
        <v>36974</v>
      </c>
      <c r="L10" s="16"/>
      <c r="M10" s="16">
        <f>IFERROR(VLOOKUP(A10,' سهام'!$A$10:$U$100,21,0),0)</f>
        <v>807117947</v>
      </c>
      <c r="N10" s="16"/>
      <c r="O10" s="16">
        <v>856032528</v>
      </c>
      <c r="P10" s="16"/>
      <c r="Q10" s="16">
        <f t="shared" si="1"/>
        <v>-48914581</v>
      </c>
      <c r="R10" s="77"/>
      <c r="S10" s="191"/>
      <c r="T10" s="77"/>
      <c r="U10" s="45"/>
      <c r="V10" s="45"/>
      <c r="W10" s="77"/>
      <c r="X10" s="77"/>
      <c r="Y10" s="77"/>
    </row>
    <row r="11" spans="1:25" s="66" customFormat="1" ht="21.75" customHeight="1">
      <c r="A11" s="190" t="s">
        <v>92</v>
      </c>
      <c r="C11" s="16">
        <f>IFERROR(VLOOKUP(A11,' سهام'!$A$10:$U$100,15,0),0)</f>
        <v>80279</v>
      </c>
      <c r="D11" s="16"/>
      <c r="E11" s="16">
        <f>IFERROR(VLOOKUP(A11,' سهام'!$A$10:$U$100,21,0),0)</f>
        <v>3903881555</v>
      </c>
      <c r="F11" s="16"/>
      <c r="G11" s="16">
        <v>4377976075</v>
      </c>
      <c r="H11" s="16"/>
      <c r="I11" s="16">
        <f t="shared" si="0"/>
        <v>-474094520</v>
      </c>
      <c r="J11" s="16"/>
      <c r="K11" s="16">
        <f>IFERROR(VLOOKUP(A11,' سهام'!$A$10:$U$100,15,0),0)</f>
        <v>80279</v>
      </c>
      <c r="L11" s="16"/>
      <c r="M11" s="16">
        <f>IFERROR(VLOOKUP(A11,' سهام'!$A$10:$U$100,21,0),0)</f>
        <v>3903881555</v>
      </c>
      <c r="N11" s="16"/>
      <c r="O11" s="16">
        <v>3557642634</v>
      </c>
      <c r="P11" s="16"/>
      <c r="Q11" s="16">
        <f t="shared" si="1"/>
        <v>346238921</v>
      </c>
      <c r="R11" s="77"/>
      <c r="S11" s="191"/>
      <c r="T11" s="77"/>
      <c r="U11" s="45"/>
      <c r="V11" s="45"/>
      <c r="W11" s="77"/>
      <c r="X11" s="77"/>
      <c r="Y11" s="77"/>
    </row>
    <row r="12" spans="1:25" s="66" customFormat="1" ht="21.75" customHeight="1">
      <c r="A12" s="190" t="s">
        <v>91</v>
      </c>
      <c r="C12" s="16">
        <f>IFERROR(VLOOKUP(A12,' سهام'!$A$10:$U$100,15,0),0)</f>
        <v>208254</v>
      </c>
      <c r="D12" s="16"/>
      <c r="E12" s="16">
        <f>IFERROR(VLOOKUP(A12,' سهام'!$A$10:$U$100,21,0),0)</f>
        <v>3740759044</v>
      </c>
      <c r="F12" s="16"/>
      <c r="G12" s="16">
        <v>3916185625</v>
      </c>
      <c r="H12" s="16"/>
      <c r="I12" s="16">
        <f t="shared" si="0"/>
        <v>-175426581</v>
      </c>
      <c r="J12" s="16"/>
      <c r="K12" s="16">
        <f>IFERROR(VLOOKUP(A12,' سهام'!$A$10:$U$100,15,0),0)</f>
        <v>208254</v>
      </c>
      <c r="L12" s="16"/>
      <c r="M12" s="16">
        <f>IFERROR(VLOOKUP(A12,' سهام'!$A$10:$U$100,21,0),0)</f>
        <v>3740759044</v>
      </c>
      <c r="N12" s="16"/>
      <c r="O12" s="16">
        <v>3618511584</v>
      </c>
      <c r="P12" s="16"/>
      <c r="Q12" s="16">
        <f t="shared" si="1"/>
        <v>122247460</v>
      </c>
      <c r="R12" s="77"/>
      <c r="S12" s="191"/>
      <c r="T12" s="77"/>
      <c r="U12" s="45"/>
      <c r="V12" s="45"/>
      <c r="W12" s="77"/>
      <c r="X12" s="77"/>
      <c r="Y12" s="77"/>
    </row>
    <row r="13" spans="1:25" s="66" customFormat="1" ht="21.75" customHeight="1">
      <c r="A13" s="190" t="s">
        <v>93</v>
      </c>
      <c r="C13" s="16">
        <f>IFERROR(VLOOKUP(A13,' سهام'!$A$10:$U$100,15,0),0)</f>
        <v>870173</v>
      </c>
      <c r="D13" s="16"/>
      <c r="E13" s="16">
        <f>IFERROR(VLOOKUP(A13,' سهام'!$A$10:$U$100,21,0),0)</f>
        <v>7110262773</v>
      </c>
      <c r="F13" s="16"/>
      <c r="G13" s="16">
        <v>7152718027</v>
      </c>
      <c r="H13" s="16"/>
      <c r="I13" s="16">
        <f t="shared" si="0"/>
        <v>-42455254</v>
      </c>
      <c r="J13" s="16"/>
      <c r="K13" s="16">
        <f>IFERROR(VLOOKUP(A13,' سهام'!$A$10:$U$100,15,0),0)</f>
        <v>870173</v>
      </c>
      <c r="L13" s="16"/>
      <c r="M13" s="16">
        <f>IFERROR(VLOOKUP(A13,' سهام'!$A$10:$U$100,21,0),0)</f>
        <v>7110262773</v>
      </c>
      <c r="N13" s="16"/>
      <c r="O13" s="16">
        <v>7470707862</v>
      </c>
      <c r="P13" s="16"/>
      <c r="Q13" s="16">
        <f t="shared" si="1"/>
        <v>-360445089</v>
      </c>
      <c r="R13" s="77"/>
      <c r="S13" s="191"/>
      <c r="T13" s="77"/>
      <c r="U13" s="45"/>
      <c r="V13" s="45"/>
      <c r="W13" s="77"/>
      <c r="X13" s="77"/>
      <c r="Y13" s="77"/>
    </row>
    <row r="14" spans="1:25" s="66" customFormat="1" ht="21.75" customHeight="1">
      <c r="A14" s="190" t="s">
        <v>102</v>
      </c>
      <c r="C14" s="16">
        <f>IFERROR(VLOOKUP(A14,' سهام'!$A$10:$U$100,15,0),0)</f>
        <v>40877</v>
      </c>
      <c r="D14" s="16"/>
      <c r="E14" s="16">
        <f>IFERROR(VLOOKUP(A14,' سهام'!$A$10:$U$100,21,0),0)</f>
        <v>915479109</v>
      </c>
      <c r="F14" s="16"/>
      <c r="G14" s="16">
        <v>1028034684</v>
      </c>
      <c r="H14" s="16"/>
      <c r="I14" s="16">
        <f t="shared" si="0"/>
        <v>-112555575</v>
      </c>
      <c r="J14" s="16"/>
      <c r="K14" s="16">
        <f>IFERROR(VLOOKUP(A14,' سهام'!$A$10:$U$100,15,0),0)</f>
        <v>40877</v>
      </c>
      <c r="L14" s="16"/>
      <c r="M14" s="16">
        <f>IFERROR(VLOOKUP(A14,' سهام'!$A$10:$U$100,21,0),0)</f>
        <v>915479109</v>
      </c>
      <c r="N14" s="16"/>
      <c r="O14" s="16">
        <v>904308965</v>
      </c>
      <c r="P14" s="16"/>
      <c r="Q14" s="16">
        <f t="shared" si="1"/>
        <v>11170144</v>
      </c>
      <c r="R14" s="77"/>
      <c r="S14" s="191"/>
      <c r="T14" s="77"/>
      <c r="U14" s="45"/>
      <c r="V14" s="45"/>
      <c r="W14" s="77"/>
      <c r="X14" s="77"/>
      <c r="Y14" s="77"/>
    </row>
    <row r="15" spans="1:25" s="66" customFormat="1" ht="21.75" customHeight="1">
      <c r="A15" s="190" t="s">
        <v>94</v>
      </c>
      <c r="C15" s="16">
        <f>IFERROR(VLOOKUP(A15,' سهام'!$A$10:$U$100,15,0),0)</f>
        <v>1799845</v>
      </c>
      <c r="D15" s="16"/>
      <c r="E15" s="16">
        <f>IFERROR(VLOOKUP(A15,' سهام'!$A$10:$U$100,21,0),0)</f>
        <v>10019161169</v>
      </c>
      <c r="F15" s="16"/>
      <c r="G15" s="16">
        <v>14020480059</v>
      </c>
      <c r="H15" s="16"/>
      <c r="I15" s="16">
        <f t="shared" si="0"/>
        <v>-4001318890</v>
      </c>
      <c r="J15" s="16"/>
      <c r="K15" s="16">
        <f>IFERROR(VLOOKUP(A15,' سهام'!$A$10:$U$100,15,0),0)</f>
        <v>1799845</v>
      </c>
      <c r="L15" s="16"/>
      <c r="M15" s="16">
        <f>IFERROR(VLOOKUP(A15,' سهام'!$A$10:$U$100,21,0),0)</f>
        <v>10019161169</v>
      </c>
      <c r="N15" s="16"/>
      <c r="O15" s="16">
        <v>12123303490</v>
      </c>
      <c r="P15" s="16"/>
      <c r="Q15" s="16">
        <f t="shared" si="1"/>
        <v>-2104142321</v>
      </c>
      <c r="R15" s="77"/>
      <c r="S15" s="191"/>
      <c r="T15" s="77"/>
      <c r="U15" s="45"/>
      <c r="V15" s="45"/>
      <c r="W15" s="77"/>
      <c r="X15" s="77"/>
      <c r="Y15" s="77"/>
    </row>
    <row r="16" spans="1:25" s="66" customFormat="1" ht="21.75" customHeight="1">
      <c r="A16" s="190" t="s">
        <v>90</v>
      </c>
      <c r="C16" s="16">
        <f>IFERROR(VLOOKUP(A16,' سهام'!$A$10:$U$100,15,0),0)</f>
        <v>192032</v>
      </c>
      <c r="D16" s="16"/>
      <c r="E16" s="16">
        <f>IFERROR(VLOOKUP(A16,' سهام'!$A$10:$U$100,21,0),0)</f>
        <v>3226031024</v>
      </c>
      <c r="F16" s="16"/>
      <c r="G16" s="16">
        <v>3444910768</v>
      </c>
      <c r="H16" s="16"/>
      <c r="I16" s="16">
        <f t="shared" si="0"/>
        <v>-218879744</v>
      </c>
      <c r="J16" s="16"/>
      <c r="K16" s="16">
        <f>IFERROR(VLOOKUP(A16,' سهام'!$A$10:$U$100,15,0),0)</f>
        <v>192032</v>
      </c>
      <c r="L16" s="16"/>
      <c r="M16" s="16">
        <f>IFERROR(VLOOKUP(A16,' سهام'!$A$10:$U$100,21,0),0)</f>
        <v>3226031024</v>
      </c>
      <c r="N16" s="16"/>
      <c r="O16" s="16">
        <v>3558848911</v>
      </c>
      <c r="P16" s="16"/>
      <c r="Q16" s="16">
        <f t="shared" si="1"/>
        <v>-332817887</v>
      </c>
      <c r="R16" s="77"/>
      <c r="S16" s="191"/>
      <c r="T16" s="77"/>
      <c r="U16" s="45"/>
      <c r="V16" s="45"/>
      <c r="W16" s="77"/>
      <c r="X16" s="77"/>
      <c r="Y16" s="77"/>
    </row>
    <row r="17" spans="1:25" s="66" customFormat="1" ht="21.75" customHeight="1">
      <c r="A17" s="190" t="s">
        <v>88</v>
      </c>
      <c r="C17" s="16">
        <f>IFERROR(VLOOKUP(A17,' سهام'!$A$10:$U$100,15,0),0)</f>
        <v>158661</v>
      </c>
      <c r="D17" s="16"/>
      <c r="E17" s="16">
        <f>IFERROR(VLOOKUP(A17,' سهام'!$A$10:$U$100,21,0),0)</f>
        <v>1318513848</v>
      </c>
      <c r="F17" s="16"/>
      <c r="G17" s="16">
        <v>1738776440</v>
      </c>
      <c r="H17" s="16"/>
      <c r="I17" s="16">
        <f t="shared" si="0"/>
        <v>-420262592</v>
      </c>
      <c r="J17" s="16"/>
      <c r="K17" s="16">
        <f>IFERROR(VLOOKUP(A17,' سهام'!$A$10:$U$100,15,0),0)</f>
        <v>158661</v>
      </c>
      <c r="L17" s="16"/>
      <c r="M17" s="16">
        <f>IFERROR(VLOOKUP(A17,' سهام'!$A$10:$U$100,21,0),0)</f>
        <v>1318513848</v>
      </c>
      <c r="N17" s="16"/>
      <c r="O17" s="16">
        <v>1873008203</v>
      </c>
      <c r="P17" s="16"/>
      <c r="Q17" s="16">
        <f t="shared" si="1"/>
        <v>-554494355</v>
      </c>
      <c r="R17" s="77"/>
      <c r="S17" s="191"/>
      <c r="T17" s="77"/>
      <c r="U17" s="45"/>
      <c r="V17" s="45"/>
      <c r="W17" s="77"/>
      <c r="X17" s="77"/>
      <c r="Y17" s="77"/>
    </row>
    <row r="18" spans="1:25" s="66" customFormat="1" ht="21.75" customHeight="1">
      <c r="A18" s="190" t="s">
        <v>125</v>
      </c>
      <c r="C18" s="16">
        <f>IFERROR(VLOOKUP(A18,' سهام'!$A$10:$U$100,15,0),0)</f>
        <v>227817</v>
      </c>
      <c r="D18" s="16"/>
      <c r="E18" s="16">
        <f>IFERROR(VLOOKUP(A18,' سهام'!$A$10:$U$100,21,0),0)</f>
        <v>2756036324</v>
      </c>
      <c r="F18" s="16"/>
      <c r="G18" s="16">
        <v>2879127906</v>
      </c>
      <c r="H18" s="16"/>
      <c r="I18" s="16">
        <f t="shared" si="0"/>
        <v>-123091582</v>
      </c>
      <c r="J18" s="16"/>
      <c r="K18" s="16">
        <f>IFERROR(VLOOKUP(A18,' سهام'!$A$10:$U$100,15,0),0)</f>
        <v>227817</v>
      </c>
      <c r="L18" s="16"/>
      <c r="M18" s="16">
        <f>IFERROR(VLOOKUP(A18,' سهام'!$A$10:$U$100,21,0),0)</f>
        <v>2756036324</v>
      </c>
      <c r="N18" s="16"/>
      <c r="O18" s="16">
        <v>2962200639</v>
      </c>
      <c r="P18" s="16"/>
      <c r="Q18" s="16">
        <f t="shared" si="1"/>
        <v>-206164315</v>
      </c>
      <c r="R18" s="77"/>
      <c r="S18" s="191"/>
      <c r="T18" s="77"/>
      <c r="U18" s="45"/>
      <c r="V18" s="45"/>
      <c r="W18" s="77"/>
      <c r="X18" s="77"/>
      <c r="Y18" s="77"/>
    </row>
    <row r="19" spans="1:25" s="66" customFormat="1" ht="21.75" customHeight="1">
      <c r="A19" s="190" t="s">
        <v>95</v>
      </c>
      <c r="C19" s="16">
        <f>IFERROR(VLOOKUP(A19,' سهام'!$A$10:$U$100,15,0),0)</f>
        <v>913362</v>
      </c>
      <c r="D19" s="16"/>
      <c r="E19" s="16">
        <f>IFERROR(VLOOKUP(A19,' سهام'!$A$10:$U$100,21,0),0)</f>
        <v>3133257792</v>
      </c>
      <c r="F19" s="16"/>
      <c r="G19" s="16">
        <v>2605086322</v>
      </c>
      <c r="H19" s="16"/>
      <c r="I19" s="16">
        <f t="shared" si="0"/>
        <v>528171470</v>
      </c>
      <c r="J19" s="16"/>
      <c r="K19" s="16">
        <f>IFERROR(VLOOKUP(A19,' سهام'!$A$10:$U$100,15,0),0)</f>
        <v>913362</v>
      </c>
      <c r="L19" s="16"/>
      <c r="M19" s="16">
        <f>IFERROR(VLOOKUP(A19,' سهام'!$A$10:$U$100,21,0),0)</f>
        <v>3133257792</v>
      </c>
      <c r="N19" s="16"/>
      <c r="O19" s="16">
        <v>3506826294</v>
      </c>
      <c r="P19" s="16"/>
      <c r="Q19" s="16">
        <f t="shared" si="1"/>
        <v>-373568502</v>
      </c>
      <c r="R19" s="77"/>
      <c r="S19" s="191"/>
      <c r="T19" s="77"/>
      <c r="U19" s="45"/>
      <c r="V19" s="45"/>
      <c r="W19" s="77"/>
      <c r="X19" s="77"/>
      <c r="Y19" s="77"/>
    </row>
    <row r="20" spans="1:25" s="66" customFormat="1" ht="21.75" customHeight="1">
      <c r="A20" s="190" t="s">
        <v>103</v>
      </c>
      <c r="C20" s="16">
        <f>IFERROR(VLOOKUP(A20,' سهام'!$A$10:$U$100,15,0),0)</f>
        <v>64355</v>
      </c>
      <c r="D20" s="16"/>
      <c r="E20" s="16">
        <f>IFERROR(VLOOKUP(A20,' سهام'!$A$10:$U$100,21,0),0)</f>
        <v>793253889</v>
      </c>
      <c r="F20" s="16"/>
      <c r="G20" s="16">
        <v>1014597314</v>
      </c>
      <c r="H20" s="16"/>
      <c r="I20" s="16">
        <f t="shared" si="0"/>
        <v>-221343425</v>
      </c>
      <c r="J20" s="16"/>
      <c r="K20" s="16">
        <f>IFERROR(VLOOKUP(A20,' سهام'!$A$10:$U$100,15,0),0)</f>
        <v>64355</v>
      </c>
      <c r="L20" s="16"/>
      <c r="M20" s="16">
        <f>IFERROR(VLOOKUP(A20,' سهام'!$A$10:$U$100,21,0),0)</f>
        <v>793253889</v>
      </c>
      <c r="N20" s="16"/>
      <c r="O20" s="16">
        <v>945047591</v>
      </c>
      <c r="P20" s="16"/>
      <c r="Q20" s="16">
        <f t="shared" si="1"/>
        <v>-151793702</v>
      </c>
      <c r="R20" s="77"/>
      <c r="S20" s="191"/>
      <c r="T20" s="77"/>
      <c r="U20" s="45"/>
      <c r="V20" s="45"/>
      <c r="W20" s="77"/>
      <c r="X20" s="77"/>
      <c r="Y20" s="77"/>
    </row>
    <row r="21" spans="1:25" s="66" customFormat="1" ht="21.75" customHeight="1">
      <c r="A21" s="190" t="s">
        <v>113</v>
      </c>
      <c r="C21" s="16">
        <f>IFERROR(VLOOKUP(A21,' سهام'!$A$10:$U$100,15,0),0)</f>
        <v>2313871</v>
      </c>
      <c r="D21" s="16"/>
      <c r="E21" s="16">
        <f>IFERROR(VLOOKUP(A21,' سهام'!$A$10:$U$100,21,0),0)</f>
        <v>6145876470</v>
      </c>
      <c r="F21" s="16"/>
      <c r="G21" s="16">
        <v>5913208773</v>
      </c>
      <c r="H21" s="16"/>
      <c r="I21" s="16">
        <f t="shared" si="0"/>
        <v>232667697</v>
      </c>
      <c r="J21" s="16"/>
      <c r="K21" s="16">
        <f>IFERROR(VLOOKUP(A21,' سهام'!$A$10:$U$100,15,0),0)</f>
        <v>2313871</v>
      </c>
      <c r="L21" s="16"/>
      <c r="M21" s="16">
        <f>IFERROR(VLOOKUP(A21,' سهام'!$A$10:$U$100,21,0),0)</f>
        <v>6145876470</v>
      </c>
      <c r="N21" s="16"/>
      <c r="O21" s="16">
        <v>7169505954</v>
      </c>
      <c r="P21" s="16"/>
      <c r="Q21" s="16">
        <f t="shared" si="1"/>
        <v>-1023629484</v>
      </c>
      <c r="R21" s="77"/>
      <c r="S21" s="191"/>
      <c r="T21" s="77"/>
      <c r="U21" s="45"/>
      <c r="V21" s="45"/>
      <c r="W21" s="77"/>
      <c r="X21" s="77"/>
      <c r="Y21" s="77"/>
    </row>
    <row r="22" spans="1:25" s="66" customFormat="1" ht="21.75" customHeight="1">
      <c r="A22" s="190" t="s">
        <v>128</v>
      </c>
      <c r="C22" s="16">
        <f>IFERROR(VLOOKUP(A22,' سهام'!$A$10:$U$100,15,0),0)</f>
        <v>2076998</v>
      </c>
      <c r="D22" s="16"/>
      <c r="E22" s="16">
        <f>IFERROR(VLOOKUP(A22,' سهام'!$A$10:$U$100,21,0),0)</f>
        <v>2124514423</v>
      </c>
      <c r="F22" s="16"/>
      <c r="G22" s="16">
        <v>1935485765</v>
      </c>
      <c r="H22" s="16"/>
      <c r="I22" s="16">
        <f t="shared" si="0"/>
        <v>189028658</v>
      </c>
      <c r="J22" s="16"/>
      <c r="K22" s="16">
        <f>IFERROR(VLOOKUP(A22,' سهام'!$A$10:$U$100,15,0),0)</f>
        <v>2076998</v>
      </c>
      <c r="L22" s="16"/>
      <c r="M22" s="16">
        <f>IFERROR(VLOOKUP(A22,' سهام'!$A$10:$U$100,21,0),0)</f>
        <v>2124514423</v>
      </c>
      <c r="N22" s="16"/>
      <c r="O22" s="16">
        <v>2498067889</v>
      </c>
      <c r="P22" s="16"/>
      <c r="Q22" s="16">
        <f t="shared" si="1"/>
        <v>-373553466</v>
      </c>
      <c r="R22" s="77"/>
      <c r="S22" s="191"/>
      <c r="T22" s="77"/>
      <c r="U22" s="45"/>
      <c r="V22" s="45"/>
      <c r="W22" s="77"/>
      <c r="X22" s="77"/>
      <c r="Y22" s="77"/>
    </row>
    <row r="23" spans="1:25" s="66" customFormat="1" ht="21.75" customHeight="1">
      <c r="A23" s="190" t="s">
        <v>112</v>
      </c>
      <c r="C23" s="16">
        <f>IFERROR(VLOOKUP(A23,' سهام'!$A$10:$U$100,15,0),0)</f>
        <v>337658</v>
      </c>
      <c r="D23" s="16"/>
      <c r="E23" s="16">
        <f>IFERROR(VLOOKUP(A23,' سهام'!$A$10:$U$100,21,0),0)</f>
        <v>2641557119</v>
      </c>
      <c r="F23" s="16"/>
      <c r="G23" s="16">
        <v>3415358641</v>
      </c>
      <c r="H23" s="16"/>
      <c r="I23" s="16">
        <f t="shared" si="0"/>
        <v>-773801522</v>
      </c>
      <c r="J23" s="16"/>
      <c r="K23" s="16">
        <f>IFERROR(VLOOKUP(A23,' سهام'!$A$10:$U$100,15,0),0)</f>
        <v>337658</v>
      </c>
      <c r="L23" s="16"/>
      <c r="M23" s="16">
        <f>IFERROR(VLOOKUP(A23,' سهام'!$A$10:$U$100,21,0),0)</f>
        <v>2641557119</v>
      </c>
      <c r="N23" s="16"/>
      <c r="O23" s="16">
        <v>2733723831</v>
      </c>
      <c r="P23" s="16"/>
      <c r="Q23" s="16">
        <f t="shared" si="1"/>
        <v>-92166712</v>
      </c>
      <c r="R23" s="77"/>
      <c r="S23" s="191"/>
      <c r="T23" s="77"/>
      <c r="U23" s="45"/>
      <c r="V23" s="45"/>
      <c r="W23" s="77"/>
      <c r="X23" s="77"/>
      <c r="Y23" s="77"/>
    </row>
    <row r="24" spans="1:25" s="66" customFormat="1" ht="21.75" customHeight="1">
      <c r="A24" s="190" t="s">
        <v>126</v>
      </c>
      <c r="C24" s="16">
        <f>IFERROR(VLOOKUP(A24,' سهام'!$A$10:$U$100,15,0),0)</f>
        <v>0</v>
      </c>
      <c r="D24" s="16"/>
      <c r="E24" s="16">
        <f>IFERROR(VLOOKUP(A24,' سهام'!$A$10:$U$100,21,0),0)</f>
        <v>0</v>
      </c>
      <c r="F24" s="16"/>
      <c r="G24" s="16">
        <v>-449745158</v>
      </c>
      <c r="H24" s="16"/>
      <c r="I24" s="16">
        <f t="shared" si="0"/>
        <v>449745158</v>
      </c>
      <c r="J24" s="16"/>
      <c r="K24" s="16">
        <f>IFERROR(VLOOKUP(A24,' سهام'!$A$10:$U$100,15,0),0)</f>
        <v>0</v>
      </c>
      <c r="L24" s="16"/>
      <c r="M24" s="16">
        <f>IFERROR(VLOOKUP(A24,' سهام'!$A$10:$U$100,21,0),0)</f>
        <v>0</v>
      </c>
      <c r="N24" s="16"/>
      <c r="O24" s="16">
        <v>0</v>
      </c>
      <c r="P24" s="16"/>
      <c r="Q24" s="16">
        <f t="shared" si="1"/>
        <v>0</v>
      </c>
      <c r="R24" s="77"/>
      <c r="S24" s="191"/>
      <c r="T24" s="77"/>
      <c r="U24" s="45"/>
      <c r="V24" s="45"/>
      <c r="W24" s="77"/>
      <c r="X24" s="77"/>
      <c r="Y24" s="77"/>
    </row>
    <row r="25" spans="1:25" s="66" customFormat="1" ht="21.75" customHeight="1">
      <c r="A25" s="190" t="s">
        <v>129</v>
      </c>
      <c r="C25" s="16">
        <f>IFERROR(VLOOKUP(A25,' سهام'!$A$10:$U$100,15,0),0)</f>
        <v>572500</v>
      </c>
      <c r="D25" s="16"/>
      <c r="E25" s="16">
        <f>IFERROR(VLOOKUP(A25,' سهام'!$A$10:$U$100,21,0),0)</f>
        <v>6208811451</v>
      </c>
      <c r="F25" s="16"/>
      <c r="G25" s="16">
        <v>7386835254</v>
      </c>
      <c r="H25" s="16"/>
      <c r="I25" s="16">
        <f t="shared" si="0"/>
        <v>-1178023803</v>
      </c>
      <c r="J25" s="16"/>
      <c r="K25" s="16">
        <f>IFERROR(VLOOKUP(A25,' سهام'!$A$10:$U$100,15,0),0)</f>
        <v>572500</v>
      </c>
      <c r="L25" s="16"/>
      <c r="M25" s="16">
        <f>IFERROR(VLOOKUP(A25,' سهام'!$A$10:$U$100,21,0),0)</f>
        <v>6208811451</v>
      </c>
      <c r="N25" s="16"/>
      <c r="O25" s="16">
        <v>7563861753</v>
      </c>
      <c r="P25" s="16"/>
      <c r="Q25" s="16">
        <f t="shared" si="1"/>
        <v>-1355050302</v>
      </c>
      <c r="R25" s="77"/>
      <c r="S25" s="191"/>
      <c r="T25" s="77"/>
      <c r="U25" s="45"/>
      <c r="V25" s="45"/>
      <c r="W25" s="77"/>
      <c r="X25" s="77"/>
      <c r="Y25" s="77"/>
    </row>
    <row r="26" spans="1:25" s="66" customFormat="1" ht="21.75" customHeight="1">
      <c r="A26" s="190" t="s">
        <v>130</v>
      </c>
      <c r="C26" s="16">
        <f>IFERROR(VLOOKUP(A26,' سهام'!$A$10:$U$100,15,0),0)</f>
        <v>200000</v>
      </c>
      <c r="D26" s="16"/>
      <c r="E26" s="16">
        <f>IFERROR(VLOOKUP(A26,' سهام'!$A$10:$U$100,21,0),0)</f>
        <v>2013945300</v>
      </c>
      <c r="F26" s="16"/>
      <c r="G26" s="16">
        <v>2075576400</v>
      </c>
      <c r="H26" s="16"/>
      <c r="I26" s="16">
        <f t="shared" si="0"/>
        <v>-61631100</v>
      </c>
      <c r="J26" s="16"/>
      <c r="K26" s="16">
        <f>IFERROR(VLOOKUP(A26,' سهام'!$A$10:$U$100,15,0),0)</f>
        <v>200000</v>
      </c>
      <c r="L26" s="16"/>
      <c r="M26" s="16">
        <f>IFERROR(VLOOKUP(A26,' سهام'!$A$10:$U$100,21,0),0)</f>
        <v>2013945300</v>
      </c>
      <c r="N26" s="16"/>
      <c r="O26" s="16">
        <v>1691534520</v>
      </c>
      <c r="P26" s="16"/>
      <c r="Q26" s="16">
        <f t="shared" si="1"/>
        <v>322410780</v>
      </c>
      <c r="R26" s="77"/>
      <c r="S26" s="191"/>
      <c r="T26" s="77"/>
      <c r="U26" s="45"/>
      <c r="V26" s="45"/>
      <c r="W26" s="77"/>
      <c r="X26" s="77"/>
      <c r="Y26" s="77"/>
    </row>
    <row r="27" spans="1:25" s="66" customFormat="1" ht="21.75" customHeight="1">
      <c r="A27" s="190" t="s">
        <v>150</v>
      </c>
      <c r="C27" s="16">
        <f>IFERROR(VLOOKUP(A27,' سهام'!$A$10:$U$100,15,0),0)</f>
        <v>625000</v>
      </c>
      <c r="D27" s="16"/>
      <c r="E27" s="16">
        <f>IFERROR(VLOOKUP(A27,' سهام'!$A$10:$U$100,21,0),0)</f>
        <v>5249826564</v>
      </c>
      <c r="F27" s="16"/>
      <c r="G27" s="16">
        <v>5808979689</v>
      </c>
      <c r="H27" s="16"/>
      <c r="I27" s="16">
        <f t="shared" si="0"/>
        <v>-559153125</v>
      </c>
      <c r="J27" s="16"/>
      <c r="K27" s="16">
        <f>IFERROR(VLOOKUP(A27,' سهام'!$A$10:$U$100,15,0),0)</f>
        <v>625000</v>
      </c>
      <c r="L27" s="16"/>
      <c r="M27" s="16">
        <f>IFERROR(VLOOKUP(A27,' سهام'!$A$10:$U$100,21,0),0)</f>
        <v>5249826564</v>
      </c>
      <c r="N27" s="16"/>
      <c r="O27" s="16">
        <v>6380788500</v>
      </c>
      <c r="P27" s="16"/>
      <c r="Q27" s="16">
        <f t="shared" si="1"/>
        <v>-1130961936</v>
      </c>
      <c r="R27" s="77"/>
      <c r="S27" s="191"/>
      <c r="T27" s="77"/>
      <c r="U27" s="45"/>
      <c r="V27" s="45"/>
      <c r="W27" s="77"/>
      <c r="X27" s="77"/>
      <c r="Y27" s="77"/>
    </row>
    <row r="28" spans="1:25" s="66" customFormat="1" ht="21.75" customHeight="1">
      <c r="A28" s="190" t="s">
        <v>108</v>
      </c>
      <c r="C28" s="16">
        <f>IFERROR(VLOOKUP(A28,اوراق!$A$9:$AE$50,25,0),0)</f>
        <v>0</v>
      </c>
      <c r="D28" s="16"/>
      <c r="E28" s="16">
        <f>IFERROR(VLOOKUP(A28,اوراق!$A$9:$AE$50,31,0),0)</f>
        <v>0</v>
      </c>
      <c r="F28" s="16"/>
      <c r="G28" s="16">
        <v>73395990</v>
      </c>
      <c r="H28" s="16"/>
      <c r="I28" s="16">
        <f t="shared" si="0"/>
        <v>-73395990</v>
      </c>
      <c r="J28" s="16"/>
      <c r="K28" s="16">
        <f>IFERROR(VLOOKUP(A28,اوراق!$A$9:$AE$50,25,0),0)</f>
        <v>0</v>
      </c>
      <c r="L28" s="16"/>
      <c r="M28" s="16">
        <f>IFERROR(VLOOKUP(A28,اوراق!$A$9:$AE$50,31,0),0)</f>
        <v>0</v>
      </c>
      <c r="N28" s="16"/>
      <c r="O28" s="16">
        <v>0</v>
      </c>
      <c r="P28" s="16"/>
      <c r="Q28" s="16">
        <f t="shared" si="1"/>
        <v>0</v>
      </c>
      <c r="R28" s="77"/>
      <c r="S28" s="191"/>
      <c r="T28" s="77"/>
      <c r="U28" s="45"/>
      <c r="V28" s="45"/>
      <c r="W28" s="77"/>
      <c r="X28" s="77"/>
      <c r="Y28" s="77"/>
    </row>
    <row r="29" spans="1:25" s="66" customFormat="1" ht="21.75" customHeight="1">
      <c r="A29" s="190" t="s">
        <v>114</v>
      </c>
      <c r="C29" s="16">
        <f>IFERROR(VLOOKUP(A29,اوراق!$A$9:$AE$50,25,0),0)</f>
        <v>13820</v>
      </c>
      <c r="D29" s="16"/>
      <c r="E29" s="16">
        <f>IFERROR(VLOOKUP(A29,اوراق!$A$9:$AE$50,31,0),0)</f>
        <v>10209332626</v>
      </c>
      <c r="F29" s="16"/>
      <c r="G29" s="16">
        <v>9446420424</v>
      </c>
      <c r="H29" s="16"/>
      <c r="I29" s="16">
        <f t="shared" si="0"/>
        <v>762912202</v>
      </c>
      <c r="J29" s="16"/>
      <c r="K29" s="16">
        <f>IFERROR(VLOOKUP(A29,اوراق!$A$9:$AE$50,25,0),0)</f>
        <v>13820</v>
      </c>
      <c r="L29" s="16"/>
      <c r="M29" s="16">
        <f>IFERROR(VLOOKUP(A29,اوراق!$A$9:$AE$50,31,0),0)</f>
        <v>10209332626</v>
      </c>
      <c r="N29" s="16"/>
      <c r="O29" s="16">
        <v>9316257610</v>
      </c>
      <c r="P29" s="16"/>
      <c r="Q29" s="16">
        <f t="shared" si="1"/>
        <v>893075016</v>
      </c>
      <c r="R29" s="77"/>
      <c r="S29" s="191"/>
      <c r="T29" s="77"/>
      <c r="U29" s="45"/>
      <c r="V29" s="45"/>
      <c r="W29" s="77"/>
      <c r="X29" s="77"/>
      <c r="Y29" s="77"/>
    </row>
    <row r="30" spans="1:25" s="66" customFormat="1" ht="21.75" customHeight="1">
      <c r="A30" s="190" t="s">
        <v>131</v>
      </c>
      <c r="C30" s="16">
        <f>IFERROR(VLOOKUP(A30,اوراق!$A$9:$AE$50,25,0),0)</f>
        <v>8000</v>
      </c>
      <c r="D30" s="16"/>
      <c r="E30" s="16">
        <f>IFERROR(VLOOKUP(A30,اوراق!$A$9:$AE$50,31,0),0)</f>
        <v>5435654610</v>
      </c>
      <c r="F30" s="16"/>
      <c r="G30" s="16">
        <v>4959021016</v>
      </c>
      <c r="H30" s="16"/>
      <c r="I30" s="16">
        <f t="shared" si="0"/>
        <v>476633594</v>
      </c>
      <c r="J30" s="16"/>
      <c r="K30" s="16">
        <f>IFERROR(VLOOKUP(A30,اوراق!$A$9:$AE$50,25,0),0)</f>
        <v>8000</v>
      </c>
      <c r="L30" s="16"/>
      <c r="M30" s="16">
        <f>IFERROR(VLOOKUP(A30,اوراق!$A$9:$AE$50,31,0),0)</f>
        <v>5435654610</v>
      </c>
      <c r="N30" s="16"/>
      <c r="O30" s="16">
        <v>4953173588</v>
      </c>
      <c r="P30" s="16"/>
      <c r="Q30" s="16">
        <f t="shared" si="1"/>
        <v>482481022</v>
      </c>
      <c r="R30" s="77"/>
      <c r="S30" s="191"/>
      <c r="T30" s="77"/>
      <c r="U30" s="45"/>
      <c r="V30" s="45"/>
      <c r="W30" s="77"/>
      <c r="X30" s="77"/>
      <c r="Y30" s="77"/>
    </row>
    <row r="31" spans="1:25" s="66" customFormat="1" ht="21.75" customHeight="1">
      <c r="A31" s="190" t="s">
        <v>115</v>
      </c>
      <c r="C31" s="16">
        <f>IFERROR(VLOOKUP(A31,اوراق!$A$9:$AE$50,25,0),0)</f>
        <v>0</v>
      </c>
      <c r="D31" s="16"/>
      <c r="E31" s="16">
        <f>IFERROR(VLOOKUP(A31,اوراق!$A$9:$AE$50,31,0),0)</f>
        <v>0</v>
      </c>
      <c r="F31" s="16"/>
      <c r="G31" s="16">
        <v>53142931</v>
      </c>
      <c r="H31" s="16"/>
      <c r="I31" s="16">
        <f t="shared" si="0"/>
        <v>-53142931</v>
      </c>
      <c r="J31" s="16"/>
      <c r="K31" s="16">
        <f>IFERROR(VLOOKUP(A31,اوراق!$A$9:$AE$50,25,0),0)</f>
        <v>0</v>
      </c>
      <c r="L31" s="16"/>
      <c r="M31" s="16">
        <f>IFERROR(VLOOKUP(A31,اوراق!$A$9:$AE$50,31,0),0)</f>
        <v>0</v>
      </c>
      <c r="N31" s="16"/>
      <c r="O31" s="16">
        <v>0</v>
      </c>
      <c r="P31" s="16"/>
      <c r="Q31" s="16">
        <f t="shared" si="1"/>
        <v>0</v>
      </c>
      <c r="R31" s="77"/>
      <c r="S31" s="191"/>
      <c r="T31" s="77"/>
      <c r="U31" s="45"/>
      <c r="V31" s="45"/>
      <c r="W31" s="77"/>
      <c r="X31" s="77"/>
      <c r="Y31" s="77"/>
    </row>
    <row r="32" spans="1:25" s="66" customFormat="1" ht="21.75" customHeight="1">
      <c r="A32" s="190" t="s">
        <v>116</v>
      </c>
      <c r="C32" s="16">
        <f>IFERROR(VLOOKUP(A32,اوراق!$A$9:$AE$50,25,0),0)</f>
        <v>12300</v>
      </c>
      <c r="D32" s="16"/>
      <c r="E32" s="16">
        <f>IFERROR(VLOOKUP(A32,اوراق!$A$9:$AE$50,31,0),0)</f>
        <v>7263309289</v>
      </c>
      <c r="F32" s="16"/>
      <c r="G32" s="16">
        <v>6087463513</v>
      </c>
      <c r="H32" s="16"/>
      <c r="I32" s="16">
        <f t="shared" si="0"/>
        <v>1175845776</v>
      </c>
      <c r="J32" s="16"/>
      <c r="K32" s="16">
        <f>IFERROR(VLOOKUP(A32,اوراق!$A$9:$AE$50,25,0),0)</f>
        <v>12300</v>
      </c>
      <c r="L32" s="16"/>
      <c r="M32" s="16">
        <f>IFERROR(VLOOKUP(A32,اوراق!$A$9:$AE$50,31,0),0)</f>
        <v>7263309289</v>
      </c>
      <c r="N32" s="16"/>
      <c r="O32" s="16">
        <v>6747608781</v>
      </c>
      <c r="P32" s="16"/>
      <c r="Q32" s="16">
        <f t="shared" si="1"/>
        <v>515700508</v>
      </c>
      <c r="R32" s="77"/>
      <c r="S32" s="191"/>
      <c r="T32" s="77"/>
      <c r="U32" s="45"/>
      <c r="V32" s="45"/>
      <c r="W32" s="77"/>
      <c r="X32" s="77"/>
      <c r="Y32" s="77"/>
    </row>
    <row r="33" spans="1:20" ht="23.25" thickBot="1">
      <c r="A33" s="84"/>
      <c r="B33" s="84"/>
      <c r="C33" s="84"/>
      <c r="D33" s="84"/>
      <c r="E33" s="120">
        <f>SUM(E7:E32)</f>
        <v>88371321203</v>
      </c>
      <c r="F33" s="16"/>
      <c r="G33" s="120">
        <f>SUM(G7:G32)</f>
        <v>93283287269</v>
      </c>
      <c r="H33" s="16"/>
      <c r="I33" s="120">
        <f>SUM(I7:I32)</f>
        <v>-4911966066</v>
      </c>
      <c r="J33" s="31"/>
      <c r="K33" s="16"/>
      <c r="L33" s="31"/>
      <c r="M33" s="120">
        <f>SUM(M7:M32)</f>
        <v>88371321203</v>
      </c>
      <c r="N33" s="16"/>
      <c r="O33" s="120">
        <f>SUM(O7:O32)</f>
        <v>93904068853</v>
      </c>
      <c r="P33" s="16"/>
      <c r="Q33" s="120">
        <f>SUM(Q7:Q32)</f>
        <v>-5532747650</v>
      </c>
      <c r="R33" s="70"/>
      <c r="S33" s="70"/>
      <c r="T33" s="70"/>
    </row>
    <row r="34" spans="1:20" ht="23.25" thickTop="1">
      <c r="A34" s="61"/>
      <c r="B34" s="61"/>
      <c r="C34" s="65"/>
      <c r="D34" s="61"/>
      <c r="E34" s="53"/>
      <c r="F34" s="31"/>
      <c r="G34" s="53"/>
      <c r="H34" s="31"/>
      <c r="I34" s="53"/>
      <c r="J34" s="31"/>
      <c r="K34" s="65"/>
      <c r="L34" s="31"/>
      <c r="M34" s="53"/>
      <c r="N34" s="31"/>
      <c r="O34" s="53"/>
      <c r="P34" s="31"/>
      <c r="Q34" s="53"/>
      <c r="R34" s="70"/>
      <c r="S34" s="70"/>
      <c r="T34" s="70"/>
    </row>
    <row r="35" spans="1:20" ht="22.5">
      <c r="A35" s="61"/>
      <c r="B35" s="61"/>
      <c r="C35" s="65"/>
      <c r="D35" s="61"/>
      <c r="E35" s="53"/>
      <c r="F35" s="31"/>
      <c r="G35" s="53"/>
      <c r="H35" s="31"/>
      <c r="I35" s="53"/>
      <c r="J35" s="31"/>
      <c r="K35" s="65"/>
      <c r="L35" s="31"/>
      <c r="M35" s="53"/>
      <c r="N35" s="31"/>
      <c r="O35" s="53"/>
      <c r="P35" s="31"/>
      <c r="Q35" s="53"/>
      <c r="R35" s="70"/>
      <c r="S35" s="70"/>
      <c r="T35" s="70"/>
    </row>
    <row r="36" spans="1:20" ht="7.5" customHeight="1">
      <c r="A36" s="61"/>
      <c r="B36" s="61"/>
    </row>
    <row r="37" spans="1:20" ht="24.75" customHeight="1">
      <c r="A37" s="346" t="s">
        <v>40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8"/>
    </row>
    <row r="38" spans="1:20">
      <c r="Q38" s="82"/>
    </row>
    <row r="39" spans="1:20" s="16" customFormat="1"/>
    <row r="40" spans="1:20" s="16" customFormat="1"/>
    <row r="41" spans="1:20" s="16" customFormat="1"/>
    <row r="42" spans="1:20" s="16" customFormat="1"/>
    <row r="43" spans="1:20" s="16" customFormat="1"/>
    <row r="44" spans="1:20" s="32" customFormat="1" ht="24">
      <c r="I44" s="16"/>
      <c r="Q44" s="16"/>
    </row>
    <row r="45" spans="1:20" s="32" customFormat="1" ht="24"/>
    <row r="46" spans="1:20" s="32" customFormat="1" ht="24"/>
    <row r="47" spans="1:20">
      <c r="A47" s="16"/>
      <c r="C47" s="70"/>
      <c r="D47" s="1"/>
      <c r="E47" s="1"/>
      <c r="F47" s="1"/>
      <c r="G47" s="1"/>
      <c r="H47" s="1"/>
      <c r="I47" s="70"/>
      <c r="J47" s="1"/>
      <c r="K47" s="70"/>
      <c r="L47" s="1"/>
      <c r="M47" s="123"/>
      <c r="N47" s="1"/>
      <c r="O47" s="1"/>
      <c r="P47" s="1"/>
      <c r="Q47" s="70"/>
    </row>
    <row r="48" spans="1:20" ht="24">
      <c r="A48" s="64"/>
      <c r="C48" s="16"/>
      <c r="D48" s="16"/>
      <c r="E48" s="124"/>
      <c r="F48" s="16"/>
      <c r="G48" s="85"/>
      <c r="H48" s="16"/>
      <c r="I48" s="16"/>
      <c r="J48" s="16"/>
      <c r="K48" s="16"/>
      <c r="L48" s="16"/>
      <c r="M48" s="34"/>
      <c r="N48" s="16"/>
      <c r="O48" s="16"/>
      <c r="P48" s="16"/>
      <c r="Q48" s="16"/>
    </row>
    <row r="49" spans="9:17" s="32" customFormat="1" ht="24">
      <c r="I49" s="26"/>
      <c r="J49" s="34"/>
      <c r="K49" s="34"/>
      <c r="L49" s="34"/>
      <c r="M49" s="34"/>
      <c r="N49" s="34"/>
      <c r="O49" s="34"/>
      <c r="P49" s="34"/>
      <c r="Q49" s="26"/>
    </row>
    <row r="50" spans="9:17" s="32" customFormat="1" ht="24">
      <c r="I50" s="16"/>
      <c r="Q50" s="16"/>
    </row>
    <row r="51" spans="9:17" s="32" customFormat="1" ht="24">
      <c r="I51" s="26"/>
      <c r="Q51" s="26"/>
    </row>
    <row r="52" spans="9:17" s="32" customFormat="1" ht="24"/>
    <row r="53" spans="9:17" s="32" customFormat="1" ht="24"/>
    <row r="54" spans="9:17" s="32" customFormat="1" ht="24"/>
    <row r="55" spans="9:17" s="32" customFormat="1" ht="24"/>
    <row r="56" spans="9:17" s="32" customFormat="1" ht="24"/>
    <row r="57" spans="9:17" s="32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37:Q37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 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Bakhtiari</cp:lastModifiedBy>
  <cp:lastPrinted>2023-10-25T16:54:14Z</cp:lastPrinted>
  <dcterms:created xsi:type="dcterms:W3CDTF">2017-11-22T14:26:20Z</dcterms:created>
  <dcterms:modified xsi:type="dcterms:W3CDTF">2024-06-29T10:03:05Z</dcterms:modified>
</cp:coreProperties>
</file>