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codeName="ThisWorkbook"/>
  <mc:AlternateContent xmlns:mc="http://schemas.openxmlformats.org/markup-compatibility/2006">
    <mc:Choice Requires="x15">
      <x15ac:absPath xmlns:x15ac="http://schemas.microsoft.com/office/spreadsheetml/2010/11/ac" url="W:\fund\8 صندوق با تضمین کیان\گزارش ماهانه\1403\2- اردیبهشت\"/>
    </mc:Choice>
  </mc:AlternateContent>
  <xr:revisionPtr revIDLastSave="0" documentId="13_ncr:1_{FC2D65E7-0D3B-4902-AB00-CB99544B0B26}" xr6:coauthVersionLast="47" xr6:coauthVersionMax="47" xr10:uidLastSave="{00000000-0000-0000-0000-000000000000}"/>
  <bookViews>
    <workbookView xWindow="-120" yWindow="-120" windowWidth="29040" windowHeight="15840" tabRatio="877" xr2:uid="{00000000-000D-0000-FFFF-FFFF00000000}"/>
  </bookViews>
  <sheets>
    <sheet name="روکش" sheetId="16" r:id="rId1"/>
    <sheet name=" سهام" sheetId="1" r:id="rId2"/>
    <sheet name="اوراق" sheetId="17" r:id="rId3"/>
    <sheet name="تعدیل اوراق" sheetId="20" r:id="rId4"/>
    <sheet name="سپرده" sheetId="2" r:id="rId5"/>
    <sheet name="درآمدها" sheetId="11" r:id="rId6"/>
    <sheet name="درآمد سرمایه گذاری در سهام " sheetId="5" r:id="rId7"/>
    <sheet name="درآمد سرمایه گذاری در اوراق بها" sheetId="6" r:id="rId8"/>
    <sheet name="درآمد سپرده بانکی" sheetId="7" r:id="rId9"/>
    <sheet name="سایر درآمدها" sheetId="8" r:id="rId10"/>
    <sheet name="درآمد سود سهام" sheetId="18" r:id="rId11"/>
    <sheet name="سود اوراق بهادار" sheetId="13" r:id="rId12"/>
    <sheet name="سود سپرده بانکی" sheetId="21" r:id="rId13"/>
    <sheet name="درآمد ناشی ازفروش" sheetId="15" r:id="rId14"/>
    <sheet name="درآمد ناشی از تغییر قیمت  " sheetId="14" r:id="rId15"/>
  </sheets>
  <definedNames>
    <definedName name="_xlnm._FilterDatabase" localSheetId="1" hidden="1">' سهام'!$A$10:$W$10</definedName>
    <definedName name="_xlnm._FilterDatabase" localSheetId="3" hidden="1">'تعدیل اوراق'!$A$9:$M$9</definedName>
    <definedName name="_xlnm._FilterDatabase" localSheetId="8" hidden="1">'درآمد سپرده بانکی'!$A$8:$J$8</definedName>
    <definedName name="_xlnm._FilterDatabase" localSheetId="7" hidden="1">'درآمد سرمایه گذاری در اوراق بها'!$A$10:$Q$10</definedName>
    <definedName name="_xlnm._FilterDatabase" localSheetId="6" hidden="1">'درآمد سرمایه گذاری در سهام '!$A$10:$U$10</definedName>
    <definedName name="_xlnm._FilterDatabase" localSheetId="10" hidden="1">'درآمد سود سهام'!$A$8:$S$8</definedName>
    <definedName name="_xlnm._FilterDatabase" localSheetId="14" hidden="1">'درآمد ناشی از تغییر قیمت  '!$A$7:$Q$7</definedName>
    <definedName name="_xlnm._FilterDatabase" localSheetId="13" hidden="1">'درآمد ناشی ازفروش'!$A$7:$Q$7</definedName>
    <definedName name="_xlnm._FilterDatabase" localSheetId="4" hidden="1">سپرده!$A$9:$K$9</definedName>
    <definedName name="_xlnm._FilterDatabase" localSheetId="11" hidden="1">'سود اوراق بهادار'!$A$7:$L$7</definedName>
    <definedName name="_xlnm._FilterDatabase" localSheetId="12" hidden="1">'سود سپرده بانکی'!$A$7:$L$7</definedName>
    <definedName name="a">#REF!</definedName>
    <definedName name="bb">#REF!</definedName>
    <definedName name="_xlnm.Print_Area" localSheetId="1">' سهام'!$A$1:$W$34</definedName>
    <definedName name="_xlnm.Print_Area" localSheetId="2">اوراق!$A$1:$AG$16</definedName>
    <definedName name="_xlnm.Print_Area" localSheetId="3">'تعدیل اوراق'!$A$1:$M$11</definedName>
    <definedName name="_xlnm.Print_Area" localSheetId="8">'درآمد سپرده بانکی'!$A$1:$J$13</definedName>
    <definedName name="_xlnm.Print_Area" localSheetId="7">'درآمد سرمایه گذاری در اوراق بها'!$A$1:$Q$17</definedName>
    <definedName name="_xlnm.Print_Area" localSheetId="6">'درآمد سرمایه گذاری در سهام '!$A$1:$U$41</definedName>
    <definedName name="_xlnm.Print_Area" localSheetId="10">'درآمد سود سهام'!$A$1:$S$14</definedName>
    <definedName name="_xlnm.Print_Area" localSheetId="14">'درآمد ناشی از تغییر قیمت  '!$A$1:$Q$38</definedName>
    <definedName name="_xlnm.Print_Area" localSheetId="13">'درآمد ناشی ازفروش'!$A$1:$Q$43</definedName>
    <definedName name="_xlnm.Print_Area" localSheetId="5">درآمدها!$A$1:$I$15</definedName>
    <definedName name="_xlnm.Print_Area" localSheetId="0">روکش!$A$1:$J$36</definedName>
    <definedName name="_xlnm.Print_Area" localSheetId="9">'سایر درآمدها'!$A$1:$E$13</definedName>
    <definedName name="_xlnm.Print_Area" localSheetId="4">سپرده!$A$1:$K$15</definedName>
    <definedName name="_xlnm.Print_Area" localSheetId="11">'سود اوراق بهادار'!$A$1:$L$11</definedName>
    <definedName name="_xlnm.Print_Area" localSheetId="12">'سود سپرده بانکی'!$A$1:$L$13</definedName>
    <definedName name="_xlnm.Print_Titles" localSheetId="1">' سهام'!$8:$10</definedName>
    <definedName name="_xlnm.Print_Titles" localSheetId="6">'درآمد سرمایه گذاری در سهام '!$7:$10</definedName>
    <definedName name="_xlnm.Print_Titles" localSheetId="14">'درآمد ناشی از تغییر قیمت  '!$6:$7</definedName>
    <definedName name="_xlnm.Print_Titles" localSheetId="13">'درآمد ناشی ازفروش'!$6:$7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" i="21" l="1"/>
  <c r="D11" i="21"/>
  <c r="L10" i="21"/>
  <c r="S11" i="18"/>
  <c r="S10" i="18"/>
  <c r="S9" i="18"/>
  <c r="M12" i="18"/>
  <c r="M10" i="18"/>
  <c r="M11" i="18"/>
  <c r="M9" i="18"/>
  <c r="I12" i="18"/>
  <c r="G11" i="7"/>
  <c r="G10" i="7"/>
  <c r="K11" i="21"/>
  <c r="J11" i="21"/>
  <c r="H11" i="21"/>
  <c r="L9" i="21"/>
  <c r="F9" i="21"/>
  <c r="C10" i="7" s="1"/>
  <c r="L8" i="21"/>
  <c r="L11" i="21" s="1"/>
  <c r="F8" i="21"/>
  <c r="C9" i="7" s="1"/>
  <c r="F10" i="21"/>
  <c r="C11" i="7" s="1"/>
  <c r="A3" i="21"/>
  <c r="M33" i="1"/>
  <c r="S33" i="1"/>
  <c r="G9" i="7" l="1"/>
  <c r="F11" i="21"/>
  <c r="O14" i="6"/>
  <c r="O15" i="6"/>
  <c r="M12" i="6"/>
  <c r="M13" i="6"/>
  <c r="M14" i="6"/>
  <c r="M15" i="6"/>
  <c r="M11" i="6"/>
  <c r="G14" i="6"/>
  <c r="G15" i="6"/>
  <c r="E12" i="6"/>
  <c r="E13" i="6"/>
  <c r="E14" i="6"/>
  <c r="E15" i="6"/>
  <c r="E11" i="6"/>
  <c r="O38" i="5"/>
  <c r="Q38" i="5"/>
  <c r="M38" i="5"/>
  <c r="G38" i="5"/>
  <c r="C38" i="5"/>
  <c r="Q29" i="14"/>
  <c r="E27" i="14"/>
  <c r="E28" i="14"/>
  <c r="E29" i="14"/>
  <c r="I29" i="14" s="1"/>
  <c r="E38" i="5" s="1"/>
  <c r="C27" i="14"/>
  <c r="C28" i="14"/>
  <c r="C29" i="14"/>
  <c r="C30" i="14"/>
  <c r="Q8" i="15"/>
  <c r="M8" i="14"/>
  <c r="M9" i="14"/>
  <c r="M10" i="14"/>
  <c r="M11" i="14"/>
  <c r="K8" i="14"/>
  <c r="K9" i="14"/>
  <c r="K10" i="14"/>
  <c r="K11" i="14"/>
  <c r="E8" i="14"/>
  <c r="I8" i="14" s="1"/>
  <c r="E9" i="14"/>
  <c r="E10" i="14"/>
  <c r="E11" i="14"/>
  <c r="C8" i="14"/>
  <c r="C9" i="14"/>
  <c r="C10" i="14"/>
  <c r="C11" i="14"/>
  <c r="M31" i="14"/>
  <c r="M32" i="14"/>
  <c r="M33" i="14"/>
  <c r="M34" i="14"/>
  <c r="Q34" i="14" s="1"/>
  <c r="O39" i="5" s="1"/>
  <c r="M30" i="14"/>
  <c r="K31" i="14"/>
  <c r="K32" i="14"/>
  <c r="K33" i="14"/>
  <c r="K34" i="14"/>
  <c r="K30" i="14"/>
  <c r="E31" i="14"/>
  <c r="E32" i="14"/>
  <c r="E33" i="14"/>
  <c r="E34" i="14"/>
  <c r="I34" i="14" s="1"/>
  <c r="E39" i="5" s="1"/>
  <c r="E30" i="14"/>
  <c r="C31" i="14"/>
  <c r="C32" i="14"/>
  <c r="C33" i="14"/>
  <c r="C34" i="14"/>
  <c r="O38" i="15"/>
  <c r="M38" i="15"/>
  <c r="G38" i="15"/>
  <c r="E8" i="15"/>
  <c r="I8" i="15" s="1"/>
  <c r="E9" i="15"/>
  <c r="I9" i="15" s="1"/>
  <c r="E10" i="15"/>
  <c r="I10" i="15" s="1"/>
  <c r="E11" i="15"/>
  <c r="I11" i="15" s="1"/>
  <c r="C8" i="15"/>
  <c r="C9" i="15"/>
  <c r="C10" i="15"/>
  <c r="C11" i="15"/>
  <c r="E36" i="15"/>
  <c r="I36" i="15" s="1"/>
  <c r="G11" i="6" s="1"/>
  <c r="E37" i="15"/>
  <c r="I37" i="15" s="1"/>
  <c r="G12" i="6" s="1"/>
  <c r="E35" i="15"/>
  <c r="I35" i="15" s="1"/>
  <c r="C36" i="15"/>
  <c r="C37" i="15"/>
  <c r="C35" i="15"/>
  <c r="F8" i="13"/>
  <c r="K12" i="18"/>
  <c r="S12" i="18"/>
  <c r="Q12" i="18"/>
  <c r="O12" i="18"/>
  <c r="I13" i="2"/>
  <c r="C13" i="2"/>
  <c r="E13" i="2"/>
  <c r="G13" i="2"/>
  <c r="O15" i="17"/>
  <c r="G33" i="1"/>
  <c r="E33" i="1"/>
  <c r="E12" i="8"/>
  <c r="C12" i="8"/>
  <c r="K16" i="6"/>
  <c r="C16" i="6"/>
  <c r="O35" i="14"/>
  <c r="G35" i="14"/>
  <c r="Q9" i="15"/>
  <c r="Q10" i="15"/>
  <c r="Q11" i="15"/>
  <c r="Q12" i="15"/>
  <c r="Q13" i="15"/>
  <c r="Q14" i="15"/>
  <c r="Q15" i="15"/>
  <c r="Q16" i="15"/>
  <c r="Q17" i="15"/>
  <c r="Q18" i="15"/>
  <c r="Q19" i="15"/>
  <c r="Q20" i="15"/>
  <c r="Q21" i="15"/>
  <c r="Q22" i="15"/>
  <c r="Q23" i="15"/>
  <c r="Q24" i="15"/>
  <c r="Q25" i="15"/>
  <c r="Q26" i="15"/>
  <c r="Q27" i="15"/>
  <c r="Q28" i="15"/>
  <c r="Q29" i="15"/>
  <c r="Q30" i="15"/>
  <c r="Q31" i="15"/>
  <c r="Q32" i="15"/>
  <c r="Q33" i="15"/>
  <c r="Q34" i="15"/>
  <c r="Q39" i="5" s="1"/>
  <c r="Q35" i="15"/>
  <c r="Q36" i="15"/>
  <c r="O11" i="6" s="1"/>
  <c r="Q37" i="15"/>
  <c r="O12" i="6" s="1"/>
  <c r="L8" i="13"/>
  <c r="L9" i="13" s="1"/>
  <c r="J9" i="13"/>
  <c r="H9" i="13"/>
  <c r="D9" i="13"/>
  <c r="B9" i="13"/>
  <c r="K11" i="2"/>
  <c r="K12" i="2"/>
  <c r="K10" i="2"/>
  <c r="AG11" i="17"/>
  <c r="AG12" i="17"/>
  <c r="AG13" i="17"/>
  <c r="AG14" i="17"/>
  <c r="AG10" i="17"/>
  <c r="AE15" i="17"/>
  <c r="AC15" i="17"/>
  <c r="W15" i="17"/>
  <c r="T15" i="17"/>
  <c r="Q15" i="17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11" i="1"/>
  <c r="U33" i="1"/>
  <c r="J33" i="1"/>
  <c r="M39" i="5"/>
  <c r="C39" i="5"/>
  <c r="S38" i="5" l="1"/>
  <c r="U38" i="5" s="1"/>
  <c r="I38" i="5"/>
  <c r="K38" i="5" s="1"/>
  <c r="O13" i="6"/>
  <c r="G13" i="6"/>
  <c r="K13" i="2"/>
  <c r="Q38" i="15"/>
  <c r="W33" i="1"/>
  <c r="F9" i="13"/>
  <c r="S39" i="5"/>
  <c r="U39" i="5" s="1"/>
  <c r="AG15" i="17"/>
  <c r="E12" i="11"/>
  <c r="E31" i="15" l="1"/>
  <c r="I31" i="15" s="1"/>
  <c r="E32" i="15"/>
  <c r="I32" i="15" s="1"/>
  <c r="E33" i="15"/>
  <c r="I33" i="15" s="1"/>
  <c r="E34" i="15"/>
  <c r="I34" i="15" s="1"/>
  <c r="G39" i="5" s="1"/>
  <c r="I39" i="5" s="1"/>
  <c r="K39" i="5" s="1"/>
  <c r="C30" i="15"/>
  <c r="C31" i="15"/>
  <c r="C32" i="15"/>
  <c r="C33" i="15"/>
  <c r="C34" i="15"/>
  <c r="Q37" i="5" l="1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2" i="5"/>
  <c r="M33" i="5"/>
  <c r="M34" i="5"/>
  <c r="M35" i="5"/>
  <c r="M36" i="5"/>
  <c r="M37" i="5"/>
  <c r="M11" i="5"/>
  <c r="S11" i="5" s="1"/>
  <c r="U11" i="5" s="1"/>
  <c r="C11" i="5"/>
  <c r="I11" i="5" s="1"/>
  <c r="K11" i="5" s="1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2" i="5"/>
  <c r="C33" i="5"/>
  <c r="C34" i="5"/>
  <c r="C35" i="5"/>
  <c r="C36" i="5"/>
  <c r="C37" i="5"/>
  <c r="C31" i="5"/>
  <c r="Q36" i="5"/>
  <c r="K10" i="20"/>
  <c r="K11" i="20" s="1"/>
  <c r="C10" i="20"/>
  <c r="G12" i="7" l="1"/>
  <c r="C40" i="5"/>
  <c r="G37" i="5"/>
  <c r="Q35" i="5"/>
  <c r="C12" i="7"/>
  <c r="A3" i="20"/>
  <c r="A3" i="2"/>
  <c r="I11" i="7" l="1"/>
  <c r="I10" i="7"/>
  <c r="I9" i="7"/>
  <c r="E11" i="7"/>
  <c r="E9" i="7"/>
  <c r="E10" i="7"/>
  <c r="Q22" i="5"/>
  <c r="Q24" i="5"/>
  <c r="Q26" i="5"/>
  <c r="M13" i="14"/>
  <c r="Q13" i="14" s="1"/>
  <c r="M14" i="14"/>
  <c r="Q14" i="14" s="1"/>
  <c r="M15" i="14"/>
  <c r="Q15" i="14" s="1"/>
  <c r="M16" i="14"/>
  <c r="Q16" i="14" s="1"/>
  <c r="M17" i="14"/>
  <c r="Q17" i="14" s="1"/>
  <c r="M18" i="14"/>
  <c r="Q18" i="14" s="1"/>
  <c r="M19" i="14"/>
  <c r="Q19" i="14" s="1"/>
  <c r="M20" i="14"/>
  <c r="Q20" i="14" s="1"/>
  <c r="M21" i="14"/>
  <c r="Q21" i="14" s="1"/>
  <c r="M22" i="14"/>
  <c r="Q22" i="14" s="1"/>
  <c r="M23" i="14"/>
  <c r="Q23" i="14" s="1"/>
  <c r="M24" i="14"/>
  <c r="Q24" i="14" s="1"/>
  <c r="M25" i="14"/>
  <c r="Q25" i="14" s="1"/>
  <c r="M26" i="14"/>
  <c r="Q26" i="14" s="1"/>
  <c r="M27" i="14"/>
  <c r="M28" i="14"/>
  <c r="Q28" i="14" s="1"/>
  <c r="Q30" i="14"/>
  <c r="Q31" i="14"/>
  <c r="Q32" i="14"/>
  <c r="Q33" i="14"/>
  <c r="M12" i="14"/>
  <c r="Q9" i="14"/>
  <c r="Q10" i="14"/>
  <c r="Q11" i="14"/>
  <c r="Q8" i="14"/>
  <c r="K13" i="14"/>
  <c r="K14" i="14"/>
  <c r="K15" i="14"/>
  <c r="K16" i="14"/>
  <c r="K17" i="14"/>
  <c r="K18" i="14"/>
  <c r="K19" i="14"/>
  <c r="K20" i="14"/>
  <c r="K21" i="14"/>
  <c r="K22" i="14"/>
  <c r="K23" i="14"/>
  <c r="K24" i="14"/>
  <c r="K25" i="14"/>
  <c r="K26" i="14"/>
  <c r="K27" i="14"/>
  <c r="K28" i="14"/>
  <c r="K12" i="14"/>
  <c r="E13" i="14"/>
  <c r="I13" i="14" s="1"/>
  <c r="E14" i="14"/>
  <c r="I14" i="14" s="1"/>
  <c r="E15" i="14"/>
  <c r="I15" i="14" s="1"/>
  <c r="E16" i="14"/>
  <c r="I16" i="14" s="1"/>
  <c r="E17" i="14"/>
  <c r="I17" i="14" s="1"/>
  <c r="E18" i="14"/>
  <c r="I18" i="14" s="1"/>
  <c r="E19" i="14"/>
  <c r="I19" i="14" s="1"/>
  <c r="E20" i="14"/>
  <c r="I20" i="14" s="1"/>
  <c r="E21" i="14"/>
  <c r="I21" i="14" s="1"/>
  <c r="E22" i="14"/>
  <c r="I22" i="14" s="1"/>
  <c r="E23" i="14"/>
  <c r="I23" i="14" s="1"/>
  <c r="E24" i="14"/>
  <c r="I24" i="14" s="1"/>
  <c r="E25" i="14"/>
  <c r="I25" i="14" s="1"/>
  <c r="E26" i="14"/>
  <c r="I26" i="14" s="1"/>
  <c r="I27" i="14"/>
  <c r="I28" i="14"/>
  <c r="I30" i="14"/>
  <c r="I31" i="14"/>
  <c r="I32" i="14"/>
  <c r="I33" i="14"/>
  <c r="E12" i="14"/>
  <c r="I9" i="14"/>
  <c r="I10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12" i="14"/>
  <c r="C29" i="15"/>
  <c r="E29" i="15"/>
  <c r="E30" i="15"/>
  <c r="I30" i="15" s="1"/>
  <c r="C20" i="15"/>
  <c r="C21" i="15"/>
  <c r="E20" i="15"/>
  <c r="I20" i="15" s="1"/>
  <c r="E21" i="15"/>
  <c r="I21" i="15" s="1"/>
  <c r="E22" i="15"/>
  <c r="I22" i="15" s="1"/>
  <c r="E23" i="15"/>
  <c r="I23" i="15" s="1"/>
  <c r="I29" i="15" l="1"/>
  <c r="G36" i="5" s="1"/>
  <c r="I12" i="7"/>
  <c r="I14" i="6"/>
  <c r="I11" i="14"/>
  <c r="E12" i="7"/>
  <c r="Q12" i="14"/>
  <c r="M35" i="14"/>
  <c r="Q27" i="14"/>
  <c r="O29" i="5" s="1"/>
  <c r="I12" i="14"/>
  <c r="E35" i="14"/>
  <c r="O37" i="5"/>
  <c r="S37" i="5" s="1"/>
  <c r="U37" i="5" s="1"/>
  <c r="O36" i="5"/>
  <c r="S36" i="5" s="1"/>
  <c r="U36" i="5" s="1"/>
  <c r="O28" i="5"/>
  <c r="I15" i="6"/>
  <c r="E29" i="5"/>
  <c r="E11" i="5"/>
  <c r="O23" i="5"/>
  <c r="E22" i="5"/>
  <c r="E25" i="5"/>
  <c r="O26" i="5"/>
  <c r="S26" i="5" s="1"/>
  <c r="U26" i="5" s="1"/>
  <c r="E24" i="5"/>
  <c r="O24" i="5"/>
  <c r="S24" i="5" s="1"/>
  <c r="U24" i="5" s="1"/>
  <c r="C25" i="15"/>
  <c r="Q30" i="5"/>
  <c r="Q23" i="5"/>
  <c r="Q31" i="5"/>
  <c r="Q25" i="5"/>
  <c r="Q29" i="5"/>
  <c r="Q27" i="5"/>
  <c r="O19" i="5"/>
  <c r="E12" i="15"/>
  <c r="I12" i="15" s="1"/>
  <c r="E13" i="15"/>
  <c r="I13" i="15" s="1"/>
  <c r="E14" i="15"/>
  <c r="I14" i="15" s="1"/>
  <c r="E15" i="15"/>
  <c r="I15" i="15" s="1"/>
  <c r="E16" i="15"/>
  <c r="I16" i="15" s="1"/>
  <c r="E17" i="15"/>
  <c r="I17" i="15" s="1"/>
  <c r="E18" i="15"/>
  <c r="I18" i="15" s="1"/>
  <c r="E19" i="15"/>
  <c r="I19" i="15" s="1"/>
  <c r="E24" i="15"/>
  <c r="I24" i="15" s="1"/>
  <c r="E25" i="15"/>
  <c r="I25" i="15" s="1"/>
  <c r="E26" i="15"/>
  <c r="I26" i="15" s="1"/>
  <c r="E27" i="15"/>
  <c r="E28" i="15"/>
  <c r="I28" i="15" s="1"/>
  <c r="C13" i="15"/>
  <c r="C14" i="15"/>
  <c r="C15" i="15"/>
  <c r="C16" i="15"/>
  <c r="C17" i="15"/>
  <c r="C18" i="15"/>
  <c r="C19" i="15"/>
  <c r="C22" i="15"/>
  <c r="C23" i="15"/>
  <c r="C24" i="15"/>
  <c r="C26" i="15"/>
  <c r="C27" i="15"/>
  <c r="C28" i="15"/>
  <c r="C12" i="15"/>
  <c r="I38" i="15" l="1"/>
  <c r="I27" i="15"/>
  <c r="E38" i="15"/>
  <c r="S29" i="5"/>
  <c r="U29" i="5" s="1"/>
  <c r="I35" i="14"/>
  <c r="I12" i="6"/>
  <c r="Q35" i="14"/>
  <c r="E16" i="6"/>
  <c r="E37" i="5"/>
  <c r="I37" i="5" s="1"/>
  <c r="K37" i="5" s="1"/>
  <c r="E36" i="5"/>
  <c r="I36" i="5" s="1"/>
  <c r="K36" i="5" s="1"/>
  <c r="E19" i="5"/>
  <c r="E30" i="5"/>
  <c r="E28" i="5"/>
  <c r="I13" i="6"/>
  <c r="O25" i="5"/>
  <c r="S25" i="5" s="1"/>
  <c r="U25" i="5" s="1"/>
  <c r="O22" i="5"/>
  <c r="S22" i="5" s="1"/>
  <c r="U22" i="5" s="1"/>
  <c r="E23" i="5"/>
  <c r="G26" i="5"/>
  <c r="S23" i="5"/>
  <c r="U23" i="5" s="1"/>
  <c r="G27" i="5"/>
  <c r="G17" i="5"/>
  <c r="G32" i="5"/>
  <c r="G11" i="5"/>
  <c r="G22" i="5"/>
  <c r="G23" i="5"/>
  <c r="G20" i="5"/>
  <c r="Q11" i="5"/>
  <c r="Q28" i="5"/>
  <c r="S28" i="5" s="1"/>
  <c r="U28" i="5" s="1"/>
  <c r="G15" i="5"/>
  <c r="G14" i="5"/>
  <c r="G12" i="5"/>
  <c r="E18" i="5"/>
  <c r="E13" i="5"/>
  <c r="E34" i="5"/>
  <c r="E15" i="5"/>
  <c r="E32" i="5"/>
  <c r="E16" i="5"/>
  <c r="E33" i="5"/>
  <c r="Q14" i="5"/>
  <c r="Q13" i="5"/>
  <c r="Q12" i="5"/>
  <c r="Q34" i="5"/>
  <c r="Q33" i="5"/>
  <c r="Q32" i="5"/>
  <c r="Q21" i="5"/>
  <c r="Q20" i="5"/>
  <c r="Q19" i="5"/>
  <c r="S19" i="5" s="1"/>
  <c r="U19" i="5" s="1"/>
  <c r="Q18" i="5"/>
  <c r="Q17" i="5"/>
  <c r="Q16" i="5"/>
  <c r="Q15" i="5"/>
  <c r="Q15" i="6"/>
  <c r="G25" i="5" l="1"/>
  <c r="I25" i="5" s="1"/>
  <c r="K25" i="5" s="1"/>
  <c r="G16" i="6"/>
  <c r="I11" i="6"/>
  <c r="I16" i="6" s="1"/>
  <c r="Q40" i="5"/>
  <c r="O16" i="6"/>
  <c r="Q11" i="6"/>
  <c r="G31" i="5"/>
  <c r="G28" i="5"/>
  <c r="I28" i="5" s="1"/>
  <c r="K28" i="5" s="1"/>
  <c r="G30" i="5"/>
  <c r="I30" i="5" s="1"/>
  <c r="K30" i="5" s="1"/>
  <c r="G33" i="5"/>
  <c r="I33" i="5" s="1"/>
  <c r="K33" i="5" s="1"/>
  <c r="G24" i="5"/>
  <c r="I24" i="5" s="1"/>
  <c r="K24" i="5" s="1"/>
  <c r="I22" i="5"/>
  <c r="K22" i="5" s="1"/>
  <c r="I15" i="5"/>
  <c r="K15" i="5" s="1"/>
  <c r="I32" i="5"/>
  <c r="K32" i="5" s="1"/>
  <c r="I23" i="5"/>
  <c r="K23" i="5" s="1"/>
  <c r="E35" i="5"/>
  <c r="E14" i="5"/>
  <c r="I14" i="5" s="1"/>
  <c r="K14" i="5" s="1"/>
  <c r="E17" i="5"/>
  <c r="E31" i="5"/>
  <c r="E20" i="5"/>
  <c r="E27" i="5"/>
  <c r="I27" i="5" s="1"/>
  <c r="K27" i="5" s="1"/>
  <c r="G16" i="5"/>
  <c r="G29" i="5"/>
  <c r="E21" i="5"/>
  <c r="E26" i="5"/>
  <c r="E12" i="5"/>
  <c r="G34" i="5"/>
  <c r="G18" i="5"/>
  <c r="G13" i="5"/>
  <c r="G19" i="5"/>
  <c r="G35" i="5"/>
  <c r="G21" i="5"/>
  <c r="E10" i="11" l="1"/>
  <c r="I10" i="11" s="1"/>
  <c r="G40" i="5"/>
  <c r="E40" i="5"/>
  <c r="I12" i="5"/>
  <c r="K12" i="5" s="1"/>
  <c r="I31" i="5"/>
  <c r="K31" i="5" s="1"/>
  <c r="I35" i="5"/>
  <c r="K35" i="5" s="1"/>
  <c r="I34" i="5"/>
  <c r="K34" i="5" s="1"/>
  <c r="I29" i="5"/>
  <c r="K29" i="5" s="1"/>
  <c r="I19" i="5"/>
  <c r="K19" i="5" s="1"/>
  <c r="I16" i="5"/>
  <c r="K16" i="5" s="1"/>
  <c r="I21" i="5"/>
  <c r="K21" i="5" s="1"/>
  <c r="I17" i="5"/>
  <c r="K17" i="5" s="1"/>
  <c r="I13" i="5"/>
  <c r="K13" i="5" s="1"/>
  <c r="I18" i="5"/>
  <c r="K18" i="5" s="1"/>
  <c r="I26" i="5"/>
  <c r="K26" i="5" s="1"/>
  <c r="I20" i="5"/>
  <c r="K20" i="5" s="1"/>
  <c r="K40" i="5" l="1"/>
  <c r="I40" i="5"/>
  <c r="C7" i="6" a="1"/>
  <c r="C7" i="6" s="1"/>
  <c r="K7" i="6" a="1"/>
  <c r="K7" i="6" s="1"/>
  <c r="M7" i="5" a="1"/>
  <c r="M7" i="5" s="1"/>
  <c r="C7" i="5" a="1"/>
  <c r="C7" i="5" s="1"/>
  <c r="K6" i="14" a="1"/>
  <c r="K6" i="14" s="1"/>
  <c r="C6" i="14" a="1"/>
  <c r="C6" i="14" s="1"/>
  <c r="K6" i="15" a="1"/>
  <c r="K6" i="15" s="1"/>
  <c r="C6" i="15" a="1"/>
  <c r="C6" i="15" s="1"/>
  <c r="Y7" i="17" a="1"/>
  <c r="Y7" i="17" s="1"/>
  <c r="O7" i="18" s="1"/>
  <c r="M7" i="17" a="1"/>
  <c r="M7" i="17" s="1"/>
  <c r="C7" i="2" s="1"/>
  <c r="A3" i="18"/>
  <c r="A3" i="13"/>
  <c r="Q13" i="6"/>
  <c r="Q14" i="6"/>
  <c r="M31" i="5"/>
  <c r="M40" i="5" s="1"/>
  <c r="O31" i="5" l="1"/>
  <c r="S31" i="5" s="1"/>
  <c r="U31" i="5" s="1"/>
  <c r="O14" i="5"/>
  <c r="S14" i="5" s="1"/>
  <c r="U14" i="5" s="1"/>
  <c r="O15" i="5"/>
  <c r="S15" i="5" s="1"/>
  <c r="U15" i="5" s="1"/>
  <c r="O30" i="5"/>
  <c r="S30" i="5" s="1"/>
  <c r="U30" i="5" s="1"/>
  <c r="O21" i="5"/>
  <c r="S21" i="5" s="1"/>
  <c r="U21" i="5" s="1"/>
  <c r="O34" i="5"/>
  <c r="S34" i="5" s="1"/>
  <c r="U34" i="5" s="1"/>
  <c r="O20" i="5"/>
  <c r="S20" i="5" s="1"/>
  <c r="U20" i="5" s="1"/>
  <c r="O17" i="5"/>
  <c r="S17" i="5" s="1"/>
  <c r="U17" i="5" s="1"/>
  <c r="O32" i="5"/>
  <c r="S32" i="5" s="1"/>
  <c r="U32" i="5" s="1"/>
  <c r="O13" i="5"/>
  <c r="O33" i="5"/>
  <c r="S33" i="5" s="1"/>
  <c r="U33" i="5" s="1"/>
  <c r="I7" i="2"/>
  <c r="E7" i="11"/>
  <c r="Q12" i="6" l="1"/>
  <c r="Q16" i="6" s="1"/>
  <c r="M16" i="6"/>
  <c r="O35" i="5"/>
  <c r="S35" i="5" s="1"/>
  <c r="U35" i="5" s="1"/>
  <c r="O11" i="5"/>
  <c r="O27" i="5"/>
  <c r="S27" i="5" s="1"/>
  <c r="U27" i="5" s="1"/>
  <c r="O18" i="5"/>
  <c r="S18" i="5" s="1"/>
  <c r="U18" i="5" s="1"/>
  <c r="O16" i="5"/>
  <c r="S16" i="5" s="1"/>
  <c r="U16" i="5" s="1"/>
  <c r="O12" i="5"/>
  <c r="S12" i="5" s="1"/>
  <c r="U12" i="5" s="1"/>
  <c r="S13" i="5"/>
  <c r="U13" i="5" s="1"/>
  <c r="I12" i="11"/>
  <c r="O40" i="5" l="1"/>
  <c r="S40" i="5" l="1"/>
  <c r="E9" i="11" s="1"/>
  <c r="U40" i="5"/>
  <c r="E11" i="11"/>
  <c r="A3" i="17"/>
  <c r="I11" i="11" l="1"/>
  <c r="E13" i="11" l="1"/>
  <c r="G12" i="11" l="1"/>
  <c r="G10" i="11"/>
  <c r="G11" i="11"/>
  <c r="I9" i="11"/>
  <c r="I13" i="11" s="1"/>
  <c r="G9" i="11"/>
  <c r="K9" i="13"/>
  <c r="J12" i="18"/>
  <c r="L12" i="18"/>
  <c r="N12" i="18"/>
  <c r="R12" i="18"/>
  <c r="D16" i="6" l="1"/>
  <c r="F16" i="6"/>
  <c r="H16" i="6"/>
  <c r="J16" i="6"/>
  <c r="L16" i="6"/>
  <c r="N16" i="6"/>
  <c r="P16" i="6"/>
  <c r="G13" i="11" l="1"/>
  <c r="A3" i="14"/>
  <c r="A3" i="8" l="1"/>
  <c r="A3" i="7"/>
  <c r="A3" i="6"/>
  <c r="A3" i="5"/>
  <c r="A3" i="15"/>
  <c r="A3" i="1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<sst xmlns="http://schemas.openxmlformats.org/spreadsheetml/2006/main" count="383" uniqueCount="158">
  <si>
    <t>بهای تمام شده</t>
  </si>
  <si>
    <t>شرکت</t>
  </si>
  <si>
    <t>جمع</t>
  </si>
  <si>
    <t>تعداد</t>
  </si>
  <si>
    <t>خرید طی دوره</t>
  </si>
  <si>
    <t>فروش طی دوره</t>
  </si>
  <si>
    <t>مبلغ</t>
  </si>
  <si>
    <t>تغییرات طی دوره</t>
  </si>
  <si>
    <t>سپرده های بانکی</t>
  </si>
  <si>
    <t>درآمد سود سهام</t>
  </si>
  <si>
    <t>درآمد تغییر ارزش</t>
  </si>
  <si>
    <t>درآمد فروش</t>
  </si>
  <si>
    <t>درآمد سود اوراق</t>
  </si>
  <si>
    <t>نام سپرده</t>
  </si>
  <si>
    <t>سود سپرده بانکی و گواهی سپرده</t>
  </si>
  <si>
    <t>درصد سود به میانگین سپرده</t>
  </si>
  <si>
    <t>درصد از کل درآمدها</t>
  </si>
  <si>
    <t>نام سپرده بانکی</t>
  </si>
  <si>
    <t>خالص ارزش فروش</t>
  </si>
  <si>
    <t>درصد به کل دارایی‌ها</t>
  </si>
  <si>
    <t>تاریخ سررسید</t>
  </si>
  <si>
    <t>سهام</t>
  </si>
  <si>
    <t>1- سرمایه گذاری ها</t>
  </si>
  <si>
    <t>1-1-سرمایه‌گذاری در سهام و حق تقدم سهام</t>
  </si>
  <si>
    <t>2- درآمد حاصل از سرمایه گذاری ها</t>
  </si>
  <si>
    <t>1-2-درآمد حاصل از سرمایه­گذاری در سهام و حق تقدم سهام:</t>
  </si>
  <si>
    <t>2-2-درآمد حاصل از سرمایه­گذاری در اوراق بهادار با درآمد ثابت:</t>
  </si>
  <si>
    <t>3-2-درآمد حاصل از سرمایه­گذاری در سپرده بانکی و گواهی سپرده:</t>
  </si>
  <si>
    <t>4-2-سایر درآمدها:</t>
  </si>
  <si>
    <t>سایر درآمدها</t>
  </si>
  <si>
    <t>قیمت بازار هر سهم</t>
  </si>
  <si>
    <t>افزایش</t>
  </si>
  <si>
    <t>کاهش</t>
  </si>
  <si>
    <t>شرح</t>
  </si>
  <si>
    <t>یادداشت</t>
  </si>
  <si>
    <t>هزینه تنزیل</t>
  </si>
  <si>
    <t>خالص درآمد</t>
  </si>
  <si>
    <t>ارزش دفتری</t>
  </si>
  <si>
    <t>سود و زیان ناشی از تغییر قیمت</t>
  </si>
  <si>
    <t>ارزش دفتری برابر است با میانگین موزون خالص ارزش فروش هر سهم/ورقه در ابتدای دوره با خرید طی دوره ضربدر تعداد در پایان دوره</t>
  </si>
  <si>
    <t>خالص بهای فروش</t>
  </si>
  <si>
    <t>سود و زیان ناشی از فروش</t>
  </si>
  <si>
    <t>درآمد حاصل از سرمایه گذاری در اوراق بهادار با درآمد ثابت</t>
  </si>
  <si>
    <t>درآمد حاصل از سرمایه گذاری در سپرده بانکی و گواهی سپرده</t>
  </si>
  <si>
    <t>مبلغ فروش</t>
  </si>
  <si>
    <t xml:space="preserve">صورت وضعیت پرتفوی </t>
  </si>
  <si>
    <t>3-1- سرمایه‌گذاری در  سپرده‌ بانکی</t>
  </si>
  <si>
    <t>1-2</t>
  </si>
  <si>
    <t>2-2</t>
  </si>
  <si>
    <t>3-2</t>
  </si>
  <si>
    <t>4-2</t>
  </si>
  <si>
    <t xml:space="preserve">صورت وضعیت درآمدها </t>
  </si>
  <si>
    <t xml:space="preserve">درآمد سود </t>
  </si>
  <si>
    <t xml:space="preserve"> </t>
  </si>
  <si>
    <t>.</t>
  </si>
  <si>
    <t>یادداشت الف</t>
  </si>
  <si>
    <t>یادداشت ب</t>
  </si>
  <si>
    <t>یادداشت ج</t>
  </si>
  <si>
    <t>ب- درآمد ناشی از تغییر قیمت اوراق بهادار</t>
  </si>
  <si>
    <t>ج- سود(زیان) حاصل از فروش اوراق بهادار</t>
  </si>
  <si>
    <t>یادداشت د</t>
  </si>
  <si>
    <t>2-1-سرمایه‌گذاری در اوراق بهادار با درآمد ثابت یا علی‌الحساب</t>
  </si>
  <si>
    <t>اطلاعات اوراق بهادار با درآمد ثابت</t>
  </si>
  <si>
    <t>نام اوراق</t>
  </si>
  <si>
    <t>دارای مجوز از سازمان</t>
  </si>
  <si>
    <t>تاریخ انتشار اوراق</t>
  </si>
  <si>
    <t>نرخ سود اسمی</t>
  </si>
  <si>
    <t>قیمت بازار هر ورقه</t>
  </si>
  <si>
    <t>گزارش وضعیت پرتفوی ماهانه</t>
  </si>
  <si>
    <t>‫پذیرفته شده در بورس یا فرابورس</t>
  </si>
  <si>
    <t>‫درآمد سود سهام</t>
  </si>
  <si>
    <t>‫اطلاعات مجمع</t>
  </si>
  <si>
    <t>‫طی دوره</t>
  </si>
  <si>
    <t>‫نام سهام</t>
  </si>
  <si>
    <t>‫تاریخ تشکیل مجمع</t>
  </si>
  <si>
    <t>‫تعداد سهام متعلقه در زمان مجمع</t>
  </si>
  <si>
    <t>‫سود متعلق به هر سهم</t>
  </si>
  <si>
    <t>‫جمع درآمد سود سهام</t>
  </si>
  <si>
    <t>‫هزینه تنزیل</t>
  </si>
  <si>
    <t>‫خالص درآمد سود سهام</t>
  </si>
  <si>
    <t>‫جمع</t>
  </si>
  <si>
    <t>درصد از کل داراییها</t>
  </si>
  <si>
    <t>دارایی‌ها</t>
  </si>
  <si>
    <t>درآمدها</t>
  </si>
  <si>
    <t>-</t>
  </si>
  <si>
    <t>صندوق سرمایه گذاری با تضمین اصل سرمایه کیان</t>
  </si>
  <si>
    <t>فولاد کاوه جنوب کیش (کاوه)</t>
  </si>
  <si>
    <t>سر. غدیر (وغدیر)</t>
  </si>
  <si>
    <t>صنایع پتروشیمی کرمانشاه (کرماشا)</t>
  </si>
  <si>
    <t>سر. صندوق بازنشستگی (وصندوق)</t>
  </si>
  <si>
    <t>پتروشیمی جم (جم)</t>
  </si>
  <si>
    <t>مبین انرژی خلیج فارس (مبین)</t>
  </si>
  <si>
    <t>توسعه معدنی و صنعتی صبانور (کنور)</t>
  </si>
  <si>
    <t>بانک خاورمیانه (وخاور)</t>
  </si>
  <si>
    <t>پاسارگاد209.8100.15644767.1 -کوتاه مدت</t>
  </si>
  <si>
    <t>درآمد حاصل از سرمایه­گذاری در سهام و حق تقدم سهام و صندوق‌های سرمایه‌گذاری</t>
  </si>
  <si>
    <t>کارمزد ابطال واحدهای سرمایه گذاری</t>
  </si>
  <si>
    <t>سیمان صوفیان (سصوفی)</t>
  </si>
  <si>
    <t>صبا فولاد خلیج فارس (فصبا)</t>
  </si>
  <si>
    <t>بین المللی توسعه صنایع و معادن غدیر (وکغدیر)</t>
  </si>
  <si>
    <t>سیمان آبیک (سآبیک)</t>
  </si>
  <si>
    <t>پتروشیمی تندگویان (شگویا)</t>
  </si>
  <si>
    <t>سیمان خاش (سخاش)</t>
  </si>
  <si>
    <t>سیمان مازندران (سمازن)</t>
  </si>
  <si>
    <t>سپید ماکیان (سپید)</t>
  </si>
  <si>
    <t>مولد نیروگاهی تجارت فارس (بمولد)</t>
  </si>
  <si>
    <t>اسناد خزانه-م1بودجه01-040326 (اخزا101)</t>
  </si>
  <si>
    <t>بلی</t>
  </si>
  <si>
    <t>1401/02/26</t>
  </si>
  <si>
    <t>1404/03/26</t>
  </si>
  <si>
    <t>آهن و فولاد غدیر ایرانیان (فغدیر)</t>
  </si>
  <si>
    <t>گروه مالی صبا تامین (صبا)</t>
  </si>
  <si>
    <t>اسناد خزانه-م3بودجه01-040520 (اخزا103)</t>
  </si>
  <si>
    <t>اسنادخزانه-م7بودجه01-040714 (اخزا107)</t>
  </si>
  <si>
    <t>اسنادخزانه-م1بودجه02-050325 (اخزا201)</t>
  </si>
  <si>
    <t>1401/05/18</t>
  </si>
  <si>
    <t>1401/12/10</t>
  </si>
  <si>
    <t>1402/06/19</t>
  </si>
  <si>
    <t>1404/05/20</t>
  </si>
  <si>
    <t>1404/07/14</t>
  </si>
  <si>
    <t>1405/03/25</t>
  </si>
  <si>
    <t>تعدیل کارمزد کارگزاری</t>
  </si>
  <si>
    <t>A7,اوراق!$A$9:$W$12,22,0)</t>
  </si>
  <si>
    <t>پالایش نفت تبریز (شبریز)</t>
  </si>
  <si>
    <t>آنتی بیوتیک سازی ایران (بیوتیک)</t>
  </si>
  <si>
    <t>سرمایه گذاری و توسعه صنایع سیمان (سیدکو)</t>
  </si>
  <si>
    <t>سر. تامین اجتماعی (شستا)</t>
  </si>
  <si>
    <t>نشاسته و گلوکز آردینه (آردینه)</t>
  </si>
  <si>
    <t>پارس فنر (فنر)</t>
  </si>
  <si>
    <t>توسعه معدنی و صنعتی صبانور (حق تقدم) (کنورح)</t>
  </si>
  <si>
    <t>اسنادخزانه-م4بودجه01-040917 (اخزا104)</t>
  </si>
  <si>
    <t>1401/12/08</t>
  </si>
  <si>
    <t>1404/09/17</t>
  </si>
  <si>
    <t>‫اوراق بهاداری که ارزش آن‌ها در تاریخ گزارش تعدیل شده</t>
  </si>
  <si>
    <t>‫(بر اساس دستورالعمل نحوه تعیین قیمت خرید و فروش اوراق بهادار در صندوق‌های سرمایه گذاری)</t>
  </si>
  <si>
    <t>‫نام اوراق بهادار</t>
  </si>
  <si>
    <t>‫تعداد</t>
  </si>
  <si>
    <t>‫قیمت
آخرین معامله</t>
  </si>
  <si>
    <t>‫قیمت تعدیل شده</t>
  </si>
  <si>
    <t>‫درصد تعدیل</t>
  </si>
  <si>
    <t>‫خالص ارزش فروش تعدیل شده</t>
  </si>
  <si>
    <t>‫دلیل تعدیل</t>
  </si>
  <si>
    <t>کاشی سینا (کساوه)</t>
  </si>
  <si>
    <t>پاسارگاد 209.307.15644767.2</t>
  </si>
  <si>
    <t>1402/12/17</t>
  </si>
  <si>
    <t>1403/01/31</t>
  </si>
  <si>
    <t>منتهی به 1403/02/31</t>
  </si>
  <si>
    <t>برای ماه منتهی به 1403/02/31</t>
  </si>
  <si>
    <t>1403/02/31</t>
  </si>
  <si>
    <t>تولیدی و صنعتی گوهرفام (شفام)</t>
  </si>
  <si>
    <t>1403/02/22</t>
  </si>
  <si>
    <t>1403/02/24</t>
  </si>
  <si>
    <t>مبین انرژی خلیج فارس (حق تقدم) (مبینح)</t>
  </si>
  <si>
    <t>طی اردیبهشت ماه</t>
  </si>
  <si>
    <t>از ابتدای سال مالی تا پایان اردیبهشت ماه</t>
  </si>
  <si>
    <t>کوتاه مدت خاورمیانه 1005/10/810/707074934</t>
  </si>
  <si>
    <t>د- سود اوراق بهادار با درآمد ثابت</t>
  </si>
  <si>
    <t>د- سود سپرده بانکی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</si>
</sst>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(* #,##0_);_(* \(#,##0\);_(* &quot;-&quot;??_);_(@_)"/>
    <numFmt numFmtId="165" formatCode="#,##0_-;[Red]\(#,##0\)"/>
    <numFmt numFmtId="166" formatCode="_(* #,##0.000_);_(* \(#,##0.000\);_(* &quot;-&quot;??_);_(@_)"/>
    <numFmt numFmtId="167" formatCode="_(* #,##0.000000_);_(* \(#,##0.000000\);_(* &quot;-&quot;??_);_(@_)"/>
    <numFmt numFmtId="168" formatCode="_-* #,##0.00_-;_-* #,##0.00\-;_-* &quot;-&quot;??_-;_-@_-"/>
    <numFmt numFmtId="169" formatCode="_-* #,##0.00000000_-;_-* #,##0.00000000\-;_-* &quot;-&quot;??_-;_-@_-"/>
    <numFmt numFmtId="170" formatCode="_-* #,##0_-;_-* #,##0\-;_-* &quot;-&quot;??_-;_-@_-"/>
    <numFmt numFmtId="171" formatCode="_-* #,##0.000000000000_-;_-* #,##0.000000000000\-;_-* &quot;-&quot;??_-;_-@_-"/>
  </numFmts>
  <fonts count="55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b/>
      <sz val="20"/>
      <color theme="1"/>
      <name val="B Mitra"/>
      <charset val="178"/>
    </font>
    <font>
      <sz val="20"/>
      <color theme="1"/>
      <name val="B Mitra"/>
      <charset val="178"/>
    </font>
    <font>
      <b/>
      <sz val="20"/>
      <color rgb="FF0062AC"/>
      <name val="B Mitra"/>
      <charset val="178"/>
    </font>
    <font>
      <sz val="20"/>
      <name val="B Mitra"/>
      <charset val="178"/>
    </font>
    <font>
      <b/>
      <sz val="16"/>
      <color theme="1"/>
      <name val="B Mitra"/>
      <charset val="178"/>
    </font>
    <font>
      <sz val="14"/>
      <color theme="1"/>
      <name val="B Mitra"/>
      <charset val="178"/>
    </font>
    <font>
      <b/>
      <sz val="16"/>
      <color rgb="FF0062AC"/>
      <name val="B Mitra"/>
      <charset val="178"/>
    </font>
    <font>
      <b/>
      <sz val="10"/>
      <color theme="1"/>
      <name val="B Mitra"/>
      <charset val="178"/>
    </font>
    <font>
      <sz val="12"/>
      <name val="B Mitra"/>
      <charset val="178"/>
    </font>
    <font>
      <sz val="11"/>
      <color theme="1"/>
      <name val="B Mitra"/>
      <charset val="178"/>
    </font>
    <font>
      <sz val="16"/>
      <color theme="1"/>
      <name val="B Mitra"/>
      <charset val="178"/>
    </font>
    <font>
      <sz val="10"/>
      <color theme="1"/>
      <name val="B Mitra"/>
      <charset val="178"/>
    </font>
    <font>
      <b/>
      <sz val="18"/>
      <color theme="1"/>
      <name val="B Mitra"/>
      <charset val="178"/>
    </font>
    <font>
      <b/>
      <sz val="12"/>
      <color theme="1"/>
      <name val="B Mitra"/>
      <charset val="178"/>
    </font>
    <font>
      <b/>
      <sz val="12"/>
      <color rgb="FF0062AC"/>
      <name val="B Mitra"/>
      <charset val="178"/>
    </font>
    <font>
      <sz val="12"/>
      <color theme="1"/>
      <name val="B Mitra"/>
      <charset val="178"/>
    </font>
    <font>
      <b/>
      <sz val="12"/>
      <color rgb="FFC00000"/>
      <name val="B Mitra"/>
      <charset val="178"/>
    </font>
    <font>
      <b/>
      <sz val="14"/>
      <color theme="1"/>
      <name val="B Mitra"/>
      <charset val="178"/>
    </font>
    <font>
      <b/>
      <sz val="16"/>
      <color rgb="FF000000"/>
      <name val="B Mitra"/>
      <charset val="178"/>
    </font>
    <font>
      <sz val="16"/>
      <color rgb="FF000000"/>
      <name val="B Mitra"/>
      <charset val="178"/>
    </font>
    <font>
      <b/>
      <sz val="14"/>
      <color rgb="FF0062AC"/>
      <name val="B Mitra"/>
      <charset val="178"/>
    </font>
    <font>
      <sz val="14"/>
      <name val="B Mitra"/>
      <charset val="178"/>
    </font>
    <font>
      <b/>
      <sz val="12"/>
      <name val="B Mitra"/>
      <charset val="178"/>
    </font>
    <font>
      <b/>
      <sz val="12"/>
      <color rgb="FF000000"/>
      <name val="B Mitra"/>
      <charset val="178"/>
    </font>
    <font>
      <sz val="12"/>
      <color rgb="FF000000"/>
      <name val="B Mitra"/>
      <charset val="178"/>
    </font>
    <font>
      <sz val="14"/>
      <color rgb="FF000000"/>
      <name val="B Mitra"/>
      <charset val="178"/>
    </font>
    <font>
      <sz val="12"/>
      <name val="B Nazanin"/>
      <charset val="178"/>
    </font>
    <font>
      <b/>
      <sz val="26"/>
      <color theme="1"/>
      <name val="B Mitra"/>
      <charset val="178"/>
    </font>
    <font>
      <sz val="18"/>
      <name val="B Mitra"/>
      <charset val="178"/>
    </font>
    <font>
      <b/>
      <sz val="12"/>
      <color theme="1"/>
      <name val="B Nazanin"/>
      <charset val="178"/>
    </font>
    <font>
      <sz val="11"/>
      <color indexed="8"/>
      <name val="B Nazanin"/>
      <charset val="178"/>
    </font>
    <font>
      <b/>
      <sz val="12"/>
      <color rgb="FF0062AC"/>
      <name val="B Nazanin"/>
      <charset val="178"/>
    </font>
    <font>
      <b/>
      <sz val="16"/>
      <name val="B Mitra"/>
      <charset val="178"/>
    </font>
    <font>
      <b/>
      <sz val="10"/>
      <color rgb="FF000000"/>
      <name val="B Mitra"/>
      <charset val="178"/>
    </font>
    <font>
      <u/>
      <sz val="11"/>
      <color theme="10"/>
      <name val="Calibri"/>
      <family val="2"/>
      <scheme val="minor"/>
    </font>
    <font>
      <sz val="22"/>
      <color theme="1"/>
      <name val="B Mitra"/>
      <charset val="178"/>
    </font>
    <font>
      <sz val="14"/>
      <color rgb="FFFF0000"/>
      <name val="B Mitra"/>
      <charset val="178"/>
    </font>
    <font>
      <sz val="11"/>
      <color rgb="FFFF0000"/>
      <name val="B Mitra"/>
      <charset val="178"/>
    </font>
    <font>
      <b/>
      <sz val="9"/>
      <color rgb="FF2E2E2E"/>
      <name val="IranSansFaNum"/>
    </font>
    <font>
      <b/>
      <sz val="11"/>
      <color rgb="FF2E2E2E"/>
      <name val="IranSansFaNum"/>
    </font>
    <font>
      <sz val="10"/>
      <color rgb="FF3C464A"/>
      <name val="Tahoma"/>
      <family val="2"/>
    </font>
    <font>
      <b/>
      <sz val="9"/>
      <color rgb="FF00A651"/>
      <name val="IranSansFaNum"/>
    </font>
    <font>
      <b/>
      <sz val="13"/>
      <color theme="1"/>
      <name val="B Mitra"/>
      <charset val="178"/>
    </font>
    <font>
      <sz val="16"/>
      <name val="B Mitra"/>
      <charset val="178"/>
    </font>
    <font>
      <b/>
      <sz val="16"/>
      <color theme="1"/>
      <name val="B Nazanin"/>
      <charset val="178"/>
    </font>
    <font>
      <sz val="14"/>
      <color theme="1"/>
      <name val="B Nazanin"/>
      <charset val="178"/>
    </font>
    <font>
      <sz val="16"/>
      <color theme="1"/>
      <name val="B Nazanin"/>
      <charset val="178"/>
    </font>
    <font>
      <b/>
      <sz val="12"/>
      <name val="B Nazanin"/>
      <charset val="178"/>
    </font>
    <font>
      <sz val="11"/>
      <color theme="1"/>
      <name val="B Nazanin"/>
      <charset val="178"/>
    </font>
    <font>
      <sz val="14"/>
      <name val="B Nazanin"/>
      <charset val="178"/>
    </font>
    <font>
      <sz val="14"/>
      <color theme="1"/>
      <name val="Calibri"/>
      <family val="2"/>
      <charset val="178"/>
      <scheme val="minor"/>
    </font>
    <font>
      <b/>
      <sz val="14"/>
      <name val="B Mitra"/>
      <charset val="17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double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37" fillId="0" borderId="0" applyNumberFormat="0" applyFill="0" applyBorder="0" applyAlignment="0" applyProtection="0"/>
    <xf numFmtId="168" fontId="2" fillId="0" borderId="0" applyFont="0" applyFill="0" applyBorder="0" applyAlignment="0" applyProtection="0"/>
  </cellStyleXfs>
  <cellXfs count="339">
    <xf numFmtId="0" fontId="0" fillId="0" borderId="0" xfId="0"/>
    <xf numFmtId="0" fontId="12" fillId="0" borderId="0" xfId="0" applyFont="1"/>
    <xf numFmtId="165" fontId="8" fillId="0" borderId="0" xfId="1" applyNumberFormat="1" applyFont="1" applyFill="1"/>
    <xf numFmtId="0" fontId="30" fillId="0" borderId="0" xfId="0" applyFont="1" applyAlignment="1">
      <alignment vertical="center"/>
    </xf>
    <xf numFmtId="164" fontId="4" fillId="0" borderId="0" xfId="1" applyNumberFormat="1" applyFont="1" applyFill="1" applyAlignment="1">
      <alignment vertical="center"/>
    </xf>
    <xf numFmtId="167" fontId="4" fillId="0" borderId="0" xfId="1" applyNumberFormat="1" applyFont="1" applyFill="1" applyAlignment="1">
      <alignment vertical="center"/>
    </xf>
    <xf numFmtId="164" fontId="3" fillId="0" borderId="0" xfId="1" applyNumberFormat="1" applyFont="1" applyFill="1" applyBorder="1" applyAlignment="1">
      <alignment vertical="center" wrapText="1" readingOrder="2"/>
    </xf>
    <xf numFmtId="164" fontId="4" fillId="0" borderId="0" xfId="1" applyNumberFormat="1" applyFont="1" applyFill="1" applyBorder="1" applyAlignment="1">
      <alignment horizontal="center" vertical="center"/>
    </xf>
    <xf numFmtId="10" fontId="6" fillId="0" borderId="0" xfId="2" applyNumberFormat="1" applyFont="1" applyFill="1" applyAlignment="1">
      <alignment horizontal="center" vertical="center"/>
    </xf>
    <xf numFmtId="10" fontId="4" fillId="0" borderId="0" xfId="2" applyNumberFormat="1" applyFont="1" applyFill="1" applyAlignment="1">
      <alignment horizontal="center" vertical="center"/>
    </xf>
    <xf numFmtId="164" fontId="4" fillId="0" borderId="0" xfId="1" applyNumberFormat="1" applyFont="1" applyFill="1" applyAlignment="1">
      <alignment vertical="center" wrapText="1"/>
    </xf>
    <xf numFmtId="164" fontId="18" fillId="0" borderId="1" xfId="1" applyNumberFormat="1" applyFont="1" applyFill="1" applyBorder="1"/>
    <xf numFmtId="164" fontId="18" fillId="0" borderId="0" xfId="1" applyNumberFormat="1" applyFont="1" applyFill="1" applyAlignment="1">
      <alignment vertical="center"/>
    </xf>
    <xf numFmtId="10" fontId="11" fillId="0" borderId="0" xfId="2" applyNumberFormat="1" applyFont="1" applyFill="1" applyAlignment="1">
      <alignment horizontal="center" vertical="center"/>
    </xf>
    <xf numFmtId="10" fontId="11" fillId="0" borderId="8" xfId="2" applyNumberFormat="1" applyFont="1" applyFill="1" applyBorder="1" applyAlignment="1">
      <alignment horizontal="center" vertical="center"/>
    </xf>
    <xf numFmtId="164" fontId="14" fillId="0" borderId="0" xfId="1" applyNumberFormat="1" applyFont="1" applyFill="1"/>
    <xf numFmtId="164" fontId="8" fillId="0" borderId="0" xfId="1" applyNumberFormat="1" applyFont="1" applyFill="1" applyAlignment="1">
      <alignment vertical="center"/>
    </xf>
    <xf numFmtId="164" fontId="12" fillId="0" borderId="0" xfId="1" applyNumberFormat="1" applyFont="1" applyFill="1"/>
    <xf numFmtId="164" fontId="12" fillId="0" borderId="0" xfId="1" applyNumberFormat="1" applyFont="1" applyFill="1" applyAlignment="1"/>
    <xf numFmtId="164" fontId="13" fillId="0" borderId="0" xfId="1" applyNumberFormat="1" applyFont="1" applyFill="1" applyAlignment="1">
      <alignment horizontal="center"/>
    </xf>
    <xf numFmtId="164" fontId="13" fillId="0" borderId="0" xfId="1" applyNumberFormat="1" applyFont="1" applyFill="1"/>
    <xf numFmtId="164" fontId="13" fillId="0" borderId="4" xfId="1" applyNumberFormat="1" applyFont="1" applyFill="1" applyBorder="1" applyAlignment="1">
      <alignment horizontal="center" vertical="center" wrapText="1"/>
    </xf>
    <xf numFmtId="164" fontId="18" fillId="0" borderId="0" xfId="1" applyNumberFormat="1" applyFont="1" applyFill="1"/>
    <xf numFmtId="164" fontId="18" fillId="0" borderId="0" xfId="1" applyNumberFormat="1" applyFont="1" applyFill="1" applyBorder="1" applyAlignment="1">
      <alignment vertical="center"/>
    </xf>
    <xf numFmtId="164" fontId="8" fillId="0" borderId="0" xfId="1" applyNumberFormat="1" applyFont="1" applyFill="1" applyBorder="1" applyAlignment="1">
      <alignment vertical="center"/>
    </xf>
    <xf numFmtId="164" fontId="39" fillId="0" borderId="0" xfId="1" applyNumberFormat="1" applyFont="1" applyFill="1" applyBorder="1" applyAlignment="1">
      <alignment vertical="center"/>
    </xf>
    <xf numFmtId="164" fontId="39" fillId="0" borderId="0" xfId="1" applyNumberFormat="1" applyFont="1" applyFill="1" applyAlignment="1">
      <alignment vertical="center"/>
    </xf>
    <xf numFmtId="43" fontId="18" fillId="0" borderId="0" xfId="1" applyFont="1" applyFill="1" applyAlignment="1">
      <alignment vertical="center"/>
    </xf>
    <xf numFmtId="165" fontId="8" fillId="0" borderId="1" xfId="1" applyNumberFormat="1" applyFont="1" applyFill="1" applyBorder="1" applyAlignment="1">
      <alignment horizontal="center" vertical="center"/>
    </xf>
    <xf numFmtId="165" fontId="8" fillId="0" borderId="0" xfId="1" applyNumberFormat="1" applyFont="1" applyFill="1" applyAlignment="1">
      <alignment horizontal="center" vertical="center"/>
    </xf>
    <xf numFmtId="165" fontId="8" fillId="0" borderId="1" xfId="1" applyNumberFormat="1" applyFont="1" applyFill="1" applyBorder="1" applyAlignment="1">
      <alignment horizontal="center" vertical="center" wrapText="1"/>
    </xf>
    <xf numFmtId="165" fontId="8" fillId="0" borderId="1" xfId="1" applyNumberFormat="1" applyFont="1" applyFill="1" applyBorder="1" applyAlignment="1">
      <alignment horizontal="right" vertical="center" wrapText="1"/>
    </xf>
    <xf numFmtId="165" fontId="20" fillId="0" borderId="0" xfId="1" applyNumberFormat="1" applyFont="1" applyFill="1" applyBorder="1" applyAlignment="1">
      <alignment vertical="center"/>
    </xf>
    <xf numFmtId="164" fontId="13" fillId="0" borderId="0" xfId="1" applyNumberFormat="1" applyFont="1" applyFill="1" applyAlignment="1">
      <alignment vertical="center"/>
    </xf>
    <xf numFmtId="165" fontId="12" fillId="0" borderId="0" xfId="1" applyNumberFormat="1" applyFont="1" applyFill="1"/>
    <xf numFmtId="165" fontId="13" fillId="0" borderId="0" xfId="1" applyNumberFormat="1" applyFont="1" applyFill="1"/>
    <xf numFmtId="165" fontId="13" fillId="0" borderId="0" xfId="1" applyNumberFormat="1" applyFont="1" applyFill="1" applyAlignment="1">
      <alignment vertical="center"/>
    </xf>
    <xf numFmtId="164" fontId="22" fillId="0" borderId="1" xfId="1" applyNumberFormat="1" applyFont="1" applyFill="1" applyBorder="1" applyAlignment="1">
      <alignment horizontal="center" vertical="center" wrapText="1" readingOrder="2"/>
    </xf>
    <xf numFmtId="165" fontId="22" fillId="0" borderId="1" xfId="1" applyNumberFormat="1" applyFont="1" applyFill="1" applyBorder="1" applyAlignment="1">
      <alignment horizontal="center" vertical="center" wrapText="1" readingOrder="2"/>
    </xf>
    <xf numFmtId="165" fontId="21" fillId="0" borderId="4" xfId="1" applyNumberFormat="1" applyFont="1" applyFill="1" applyBorder="1" applyAlignment="1">
      <alignment horizontal="center" vertical="center" wrapText="1" readingOrder="2"/>
    </xf>
    <xf numFmtId="164" fontId="14" fillId="0" borderId="0" xfId="1" applyNumberFormat="1" applyFont="1" applyFill="1" applyAlignment="1">
      <alignment vertical="center"/>
    </xf>
    <xf numFmtId="165" fontId="14" fillId="0" borderId="0" xfId="1" applyNumberFormat="1" applyFont="1" applyFill="1" applyAlignment="1">
      <alignment vertical="center"/>
    </xf>
    <xf numFmtId="164" fontId="38" fillId="0" borderId="0" xfId="1" applyNumberFormat="1" applyFont="1" applyFill="1" applyAlignment="1">
      <alignment vertical="center"/>
    </xf>
    <xf numFmtId="165" fontId="38" fillId="0" borderId="0" xfId="1" applyNumberFormat="1" applyFont="1" applyFill="1" applyAlignment="1">
      <alignment vertical="center"/>
    </xf>
    <xf numFmtId="164" fontId="26" fillId="0" borderId="14" xfId="1" applyNumberFormat="1" applyFont="1" applyFill="1" applyBorder="1" applyAlignment="1">
      <alignment horizontal="center" vertical="center" wrapText="1" readingOrder="2"/>
    </xf>
    <xf numFmtId="164" fontId="18" fillId="0" borderId="0" xfId="1" applyNumberFormat="1" applyFont="1" applyFill="1" applyAlignment="1">
      <alignment vertical="center" wrapText="1"/>
    </xf>
    <xf numFmtId="164" fontId="18" fillId="0" borderId="3" xfId="1" applyNumberFormat="1" applyFont="1" applyFill="1" applyBorder="1" applyAlignment="1">
      <alignment vertical="center" wrapText="1"/>
    </xf>
    <xf numFmtId="164" fontId="8" fillId="0" borderId="0" xfId="1" applyNumberFormat="1" applyFont="1" applyFill="1"/>
    <xf numFmtId="164" fontId="8" fillId="0" borderId="1" xfId="1" applyNumberFormat="1" applyFont="1" applyFill="1" applyBorder="1" applyAlignment="1">
      <alignment horizontal="center" vertical="center" wrapText="1"/>
    </xf>
    <xf numFmtId="164" fontId="8" fillId="0" borderId="0" xfId="1" applyNumberFormat="1" applyFont="1" applyFill="1" applyAlignment="1">
      <alignment horizontal="center" vertical="center"/>
    </xf>
    <xf numFmtId="164" fontId="8" fillId="0" borderId="1" xfId="1" applyNumberFormat="1" applyFont="1" applyFill="1" applyBorder="1" applyAlignment="1">
      <alignment horizontal="center" vertical="center"/>
    </xf>
    <xf numFmtId="164" fontId="8" fillId="0" borderId="0" xfId="1" applyNumberFormat="1" applyFont="1" applyFill="1" applyBorder="1" applyAlignment="1">
      <alignment vertical="center" wrapText="1"/>
    </xf>
    <xf numFmtId="164" fontId="20" fillId="0" borderId="0" xfId="1" applyNumberFormat="1" applyFont="1" applyFill="1" applyBorder="1" applyAlignment="1">
      <alignment horizontal="left" vertical="center"/>
    </xf>
    <xf numFmtId="164" fontId="4" fillId="0" borderId="0" xfId="1" applyNumberFormat="1" applyFont="1" applyFill="1" applyBorder="1" applyAlignment="1">
      <alignment horizontal="center" vertical="center" readingOrder="2"/>
    </xf>
    <xf numFmtId="164" fontId="20" fillId="0" borderId="9" xfId="1" applyNumberFormat="1" applyFont="1" applyFill="1" applyBorder="1" applyAlignment="1">
      <alignment horizontal="left" vertical="center"/>
    </xf>
    <xf numFmtId="164" fontId="20" fillId="0" borderId="0" xfId="1" applyNumberFormat="1" applyFont="1" applyFill="1" applyBorder="1" applyAlignment="1">
      <alignment vertical="center"/>
    </xf>
    <xf numFmtId="10" fontId="4" fillId="0" borderId="0" xfId="1" applyNumberFormat="1" applyFont="1" applyFill="1" applyAlignment="1">
      <alignment vertical="center"/>
    </xf>
    <xf numFmtId="10" fontId="6" fillId="0" borderId="8" xfId="2" applyNumberFormat="1" applyFont="1" applyFill="1" applyBorder="1" applyAlignment="1">
      <alignment horizontal="center" vertical="center"/>
    </xf>
    <xf numFmtId="164" fontId="8" fillId="0" borderId="0" xfId="1" applyNumberFormat="1" applyFont="1" applyFill="1" applyBorder="1" applyAlignment="1">
      <alignment horizontal="right" vertical="center" wrapText="1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 readingOrder="2"/>
    </xf>
    <xf numFmtId="0" fontId="3" fillId="0" borderId="0" xfId="0" applyFont="1" applyFill="1" applyAlignment="1">
      <alignment vertical="center" wrapText="1" readingOrder="2"/>
    </xf>
    <xf numFmtId="0" fontId="4" fillId="0" borderId="0" xfId="0" applyFont="1" applyFill="1" applyAlignment="1">
      <alignment vertical="center" wrapText="1" readingOrder="2"/>
    </xf>
    <xf numFmtId="0" fontId="4" fillId="0" borderId="0" xfId="0" applyFont="1" applyFill="1" applyAlignment="1">
      <alignment horizontal="center" vertical="center" readingOrder="2"/>
    </xf>
    <xf numFmtId="37" fontId="6" fillId="0" borderId="0" xfId="0" applyNumberFormat="1" applyFont="1" applyFill="1" applyAlignment="1">
      <alignment horizontal="center" vertical="center"/>
    </xf>
    <xf numFmtId="164" fontId="4" fillId="0" borderId="0" xfId="0" applyNumberFormat="1" applyFont="1" applyFill="1" applyAlignment="1">
      <alignment vertical="center"/>
    </xf>
    <xf numFmtId="3" fontId="41" fillId="0" borderId="0" xfId="0" applyNumberFormat="1" applyFont="1" applyFill="1"/>
    <xf numFmtId="166" fontId="4" fillId="0" borderId="0" xfId="0" applyNumberFormat="1" applyFont="1" applyFill="1" applyAlignment="1">
      <alignment vertical="center"/>
    </xf>
    <xf numFmtId="0" fontId="14" fillId="0" borderId="0" xfId="0" applyFont="1" applyFill="1"/>
    <xf numFmtId="0" fontId="18" fillId="0" borderId="0" xfId="0" applyFont="1" applyFill="1"/>
    <xf numFmtId="0" fontId="18" fillId="0" borderId="1" xfId="0" applyFont="1" applyFill="1" applyBorder="1"/>
    <xf numFmtId="0" fontId="16" fillId="0" borderId="0" xfId="0" applyFont="1" applyFill="1" applyAlignment="1">
      <alignment horizontal="center" vertical="center" wrapText="1" readingOrder="2"/>
    </xf>
    <xf numFmtId="0" fontId="18" fillId="0" borderId="0" xfId="0" applyFont="1" applyFill="1" applyAlignment="1">
      <alignment vertical="center" wrapText="1" readingOrder="2"/>
    </xf>
    <xf numFmtId="0" fontId="18" fillId="0" borderId="0" xfId="0" applyFont="1" applyFill="1" applyAlignment="1">
      <alignment horizontal="center"/>
    </xf>
    <xf numFmtId="37" fontId="11" fillId="0" borderId="0" xfId="0" applyNumberFormat="1" applyFont="1" applyFill="1" applyAlignment="1">
      <alignment horizontal="right" vertical="center" wrapText="1"/>
    </xf>
    <xf numFmtId="164" fontId="18" fillId="0" borderId="0" xfId="0" applyNumberFormat="1" applyFont="1" applyFill="1"/>
    <xf numFmtId="0" fontId="8" fillId="0" borderId="0" xfId="0" applyFont="1" applyFill="1"/>
    <xf numFmtId="0" fontId="12" fillId="0" borderId="0" xfId="0" applyFont="1" applyFill="1"/>
    <xf numFmtId="0" fontId="18" fillId="0" borderId="0" xfId="0" applyFont="1" applyFill="1" applyAlignment="1">
      <alignment horizontal="center" vertical="center"/>
    </xf>
    <xf numFmtId="164" fontId="18" fillId="0" borderId="1" xfId="1" applyNumberFormat="1" applyFont="1" applyFill="1" applyBorder="1" applyAlignment="1">
      <alignment horizontal="center"/>
    </xf>
    <xf numFmtId="164" fontId="16" fillId="0" borderId="0" xfId="1" applyNumberFormat="1" applyFont="1" applyFill="1" applyAlignment="1">
      <alignment horizontal="right" vertical="center" readingOrder="2"/>
    </xf>
    <xf numFmtId="164" fontId="12" fillId="0" borderId="0" xfId="0" applyNumberFormat="1" applyFont="1" applyFill="1"/>
    <xf numFmtId="3" fontId="41" fillId="0" borderId="0" xfId="0" applyNumberFormat="1" applyFont="1" applyFill="1" applyAlignment="1">
      <alignment vertical="center"/>
    </xf>
    <xf numFmtId="3" fontId="41" fillId="0" borderId="0" xfId="0" applyNumberFormat="1" applyFont="1" applyFill="1" applyAlignment="1">
      <alignment vertical="center" wrapText="1"/>
    </xf>
    <xf numFmtId="0" fontId="13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 vertical="center"/>
    </xf>
    <xf numFmtId="164" fontId="8" fillId="0" borderId="0" xfId="0" applyNumberFormat="1" applyFont="1" applyFill="1"/>
    <xf numFmtId="37" fontId="25" fillId="0" borderId="10" xfId="0" applyNumberFormat="1" applyFont="1" applyFill="1" applyBorder="1" applyAlignment="1">
      <alignment horizontal="center" vertical="center" wrapText="1"/>
    </xf>
    <xf numFmtId="37" fontId="25" fillId="0" borderId="0" xfId="0" applyNumberFormat="1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43" fontId="12" fillId="0" borderId="0" xfId="0" applyNumberFormat="1" applyFont="1" applyFill="1"/>
    <xf numFmtId="37" fontId="11" fillId="0" borderId="9" xfId="0" applyNumberFormat="1" applyFont="1" applyFill="1" applyBorder="1" applyAlignment="1">
      <alignment horizontal="center" vertical="center"/>
    </xf>
    <xf numFmtId="37" fontId="11" fillId="0" borderId="12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2" fontId="8" fillId="0" borderId="9" xfId="0" applyNumberFormat="1" applyFont="1" applyFill="1" applyBorder="1" applyAlignment="1">
      <alignment vertical="center"/>
    </xf>
    <xf numFmtId="2" fontId="8" fillId="0" borderId="0" xfId="0" applyNumberFormat="1" applyFont="1" applyFill="1" applyAlignment="1">
      <alignment vertical="center"/>
    </xf>
    <xf numFmtId="3" fontId="12" fillId="0" borderId="0" xfId="0" applyNumberFormat="1" applyFont="1" applyFill="1"/>
    <xf numFmtId="37" fontId="11" fillId="0" borderId="0" xfId="0" quotePrefix="1" applyNumberFormat="1" applyFont="1" applyFill="1" applyAlignment="1">
      <alignment horizontal="right" vertical="center" wrapText="1"/>
    </xf>
    <xf numFmtId="0" fontId="14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165" fontId="13" fillId="0" borderId="0" xfId="0" applyNumberFormat="1" applyFont="1" applyFill="1" applyAlignment="1">
      <alignment vertical="center"/>
    </xf>
    <xf numFmtId="0" fontId="13" fillId="0" borderId="0" xfId="0" applyFont="1" applyFill="1" applyAlignment="1">
      <alignment horizontal="right" vertical="center"/>
    </xf>
    <xf numFmtId="0" fontId="13" fillId="0" borderId="1" xfId="0" applyFont="1" applyFill="1" applyBorder="1" applyAlignment="1">
      <alignment vertical="center"/>
    </xf>
    <xf numFmtId="0" fontId="21" fillId="0" borderId="0" xfId="0" applyFont="1" applyFill="1" applyAlignment="1">
      <alignment vertical="center" wrapText="1" readingOrder="2"/>
    </xf>
    <xf numFmtId="165" fontId="21" fillId="0" borderId="4" xfId="0" applyNumberFormat="1" applyFont="1" applyFill="1" applyBorder="1" applyAlignment="1">
      <alignment horizontal="center" vertical="center" wrapText="1" readingOrder="2"/>
    </xf>
    <xf numFmtId="0" fontId="21" fillId="0" borderId="4" xfId="0" applyFont="1" applyFill="1" applyBorder="1" applyAlignment="1">
      <alignment horizontal="center" vertical="center" wrapText="1" readingOrder="2"/>
    </xf>
    <xf numFmtId="37" fontId="6" fillId="0" borderId="0" xfId="0" quotePrefix="1" applyNumberFormat="1" applyFont="1" applyFill="1" applyAlignment="1">
      <alignment horizontal="center" vertical="center" wrapText="1"/>
    </xf>
    <xf numFmtId="0" fontId="7" fillId="0" borderId="0" xfId="0" applyFont="1" applyFill="1" applyAlignment="1">
      <alignment vertical="center"/>
    </xf>
    <xf numFmtId="164" fontId="7" fillId="0" borderId="8" xfId="1" applyNumberFormat="1" applyFont="1" applyFill="1" applyBorder="1" applyAlignment="1">
      <alignment vertical="center"/>
    </xf>
    <xf numFmtId="164" fontId="7" fillId="0" borderId="0" xfId="1" applyNumberFormat="1" applyFont="1" applyFill="1" applyAlignment="1">
      <alignment vertical="center"/>
    </xf>
    <xf numFmtId="37" fontId="35" fillId="0" borderId="0" xfId="0" applyNumberFormat="1" applyFont="1" applyFill="1" applyAlignment="1">
      <alignment horizontal="center" vertical="center"/>
    </xf>
    <xf numFmtId="10" fontId="21" fillId="0" borderId="8" xfId="2" applyNumberFormat="1" applyFont="1" applyFill="1" applyBorder="1" applyAlignment="1">
      <alignment horizontal="center" vertical="center" wrapText="1" readingOrder="2"/>
    </xf>
    <xf numFmtId="165" fontId="14" fillId="0" borderId="0" xfId="0" applyNumberFormat="1" applyFont="1" applyFill="1" applyAlignment="1">
      <alignment vertical="center"/>
    </xf>
    <xf numFmtId="0" fontId="14" fillId="0" borderId="0" xfId="0" applyFont="1" applyFill="1" applyAlignment="1">
      <alignment horizontal="right" vertical="center"/>
    </xf>
    <xf numFmtId="0" fontId="38" fillId="0" borderId="0" xfId="0" applyFont="1" applyFill="1" applyAlignment="1">
      <alignment vertical="center"/>
    </xf>
    <xf numFmtId="165" fontId="38" fillId="0" borderId="0" xfId="0" applyNumberFormat="1" applyFont="1" applyFill="1" applyAlignment="1">
      <alignment vertical="center"/>
    </xf>
    <xf numFmtId="0" fontId="26" fillId="0" borderId="14" xfId="0" applyFont="1" applyFill="1" applyBorder="1" applyAlignment="1">
      <alignment horizontal="center" vertical="center" wrapText="1" readingOrder="2"/>
    </xf>
    <xf numFmtId="37" fontId="29" fillId="0" borderId="0" xfId="0" applyNumberFormat="1" applyFont="1" applyFill="1" applyAlignment="1">
      <alignment horizontal="center" vertical="center" wrapText="1"/>
    </xf>
    <xf numFmtId="10" fontId="11" fillId="0" borderId="0" xfId="0" applyNumberFormat="1" applyFont="1" applyFill="1" applyAlignment="1">
      <alignment horizontal="center" vertical="center"/>
    </xf>
    <xf numFmtId="0" fontId="28" fillId="0" borderId="0" xfId="0" applyFont="1" applyFill="1" applyAlignment="1">
      <alignment horizontal="right" vertical="center" wrapText="1" readingOrder="2"/>
    </xf>
    <xf numFmtId="0" fontId="8" fillId="0" borderId="0" xfId="0" applyFont="1" applyFill="1" applyAlignment="1">
      <alignment vertical="center" wrapText="1"/>
    </xf>
    <xf numFmtId="10" fontId="36" fillId="0" borderId="2" xfId="2" applyNumberFormat="1" applyFont="1" applyFill="1" applyBorder="1" applyAlignment="1">
      <alignment horizontal="center" vertical="center" wrapText="1" readingOrder="2"/>
    </xf>
    <xf numFmtId="3" fontId="8" fillId="0" borderId="0" xfId="0" applyNumberFormat="1" applyFont="1" applyFill="1"/>
    <xf numFmtId="0" fontId="16" fillId="0" borderId="0" xfId="0" applyFont="1" applyFill="1"/>
    <xf numFmtId="0" fontId="26" fillId="0" borderId="1" xfId="0" applyFont="1" applyFill="1" applyBorder="1" applyAlignment="1">
      <alignment horizontal="right" vertical="center" wrapText="1" readingOrder="2"/>
    </xf>
    <xf numFmtId="0" fontId="26" fillId="0" borderId="0" xfId="0" applyFont="1" applyFill="1" applyAlignment="1">
      <alignment vertical="center" wrapText="1" readingOrder="2"/>
    </xf>
    <xf numFmtId="0" fontId="27" fillId="0" borderId="0" xfId="0" applyFont="1" applyFill="1" applyAlignment="1">
      <alignment horizontal="center" vertical="center" wrapText="1" readingOrder="2"/>
    </xf>
    <xf numFmtId="3" fontId="42" fillId="0" borderId="0" xfId="0" applyNumberFormat="1" applyFont="1" applyFill="1" applyAlignment="1">
      <alignment vertical="center" wrapText="1"/>
    </xf>
    <xf numFmtId="0" fontId="18" fillId="0" borderId="9" xfId="0" applyFont="1" applyFill="1" applyBorder="1" applyAlignment="1">
      <alignment vertical="center" wrapText="1"/>
    </xf>
    <xf numFmtId="3" fontId="18" fillId="0" borderId="0" xfId="0" applyNumberFormat="1" applyFont="1" applyFill="1"/>
    <xf numFmtId="0" fontId="10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 wrapText="1"/>
    </xf>
    <xf numFmtId="0" fontId="7" fillId="0" borderId="0" xfId="0" applyFont="1" applyFill="1" applyAlignment="1">
      <alignment horizontal="center" vertical="center" readingOrder="2"/>
    </xf>
    <xf numFmtId="0" fontId="7" fillId="0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37" fontId="31" fillId="0" borderId="0" xfId="0" quotePrefix="1" applyNumberFormat="1" applyFont="1" applyFill="1" applyAlignment="1">
      <alignment horizontal="right" vertical="center" wrapText="1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0" fontId="6" fillId="0" borderId="8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3" fontId="43" fillId="0" borderId="0" xfId="0" applyNumberFormat="1" applyFont="1" applyFill="1"/>
    <xf numFmtId="165" fontId="8" fillId="0" borderId="0" xfId="1" applyNumberFormat="1" applyFont="1" applyFill="1" applyAlignment="1"/>
    <xf numFmtId="0" fontId="26" fillId="0" borderId="1" xfId="0" applyFont="1" applyFill="1" applyBorder="1" applyAlignment="1">
      <alignment vertical="center" wrapText="1" readingOrder="2"/>
    </xf>
    <xf numFmtId="164" fontId="16" fillId="0" borderId="8" xfId="1" applyNumberFormat="1" applyFont="1" applyFill="1" applyBorder="1" applyAlignment="1">
      <alignment vertical="center"/>
    </xf>
    <xf numFmtId="164" fontId="28" fillId="0" borderId="0" xfId="1" applyNumberFormat="1" applyFont="1" applyFill="1" applyBorder="1" applyAlignment="1">
      <alignment vertical="center" wrapText="1" readingOrder="2"/>
    </xf>
    <xf numFmtId="37" fontId="46" fillId="0" borderId="0" xfId="0" applyNumberFormat="1" applyFont="1" applyFill="1" applyAlignment="1">
      <alignment horizontal="center" vertical="center" wrapText="1"/>
    </xf>
    <xf numFmtId="164" fontId="8" fillId="0" borderId="8" xfId="1" applyNumberFormat="1" applyFont="1" applyFill="1" applyBorder="1" applyAlignment="1">
      <alignment vertical="center"/>
    </xf>
    <xf numFmtId="165" fontId="8" fillId="0" borderId="0" xfId="1" applyNumberFormat="1" applyFont="1" applyFill="1" applyAlignment="1">
      <alignment vertical="center"/>
    </xf>
    <xf numFmtId="164" fontId="0" fillId="0" borderId="0" xfId="1" applyNumberFormat="1" applyFont="1" applyFill="1"/>
    <xf numFmtId="164" fontId="20" fillId="0" borderId="8" xfId="1" applyNumberFormat="1" applyFont="1" applyFill="1" applyBorder="1" applyAlignment="1">
      <alignment vertical="center"/>
    </xf>
    <xf numFmtId="165" fontId="12" fillId="0" borderId="0" xfId="0" applyNumberFormat="1" applyFont="1" applyFill="1"/>
    <xf numFmtId="3" fontId="44" fillId="0" borderId="0" xfId="0" applyNumberFormat="1" applyFont="1" applyFill="1"/>
    <xf numFmtId="164" fontId="32" fillId="0" borderId="0" xfId="1" applyNumberFormat="1" applyFont="1" applyFill="1" applyAlignment="1">
      <alignment horizontal="center"/>
    </xf>
    <xf numFmtId="164" fontId="17" fillId="0" borderId="0" xfId="1" applyNumberFormat="1" applyFont="1" applyFill="1" applyAlignment="1">
      <alignment horizontal="right" vertical="center" readingOrder="2"/>
    </xf>
    <xf numFmtId="164" fontId="17" fillId="0" borderId="0" xfId="1" applyNumberFormat="1" applyFont="1" applyFill="1" applyAlignment="1">
      <alignment vertical="center" readingOrder="2"/>
    </xf>
    <xf numFmtId="164" fontId="19" fillId="0" borderId="13" xfId="1" applyNumberFormat="1" applyFont="1" applyFill="1" applyBorder="1" applyAlignment="1">
      <alignment horizontal="right" vertical="center" readingOrder="2"/>
    </xf>
    <xf numFmtId="164" fontId="34" fillId="0" borderId="0" xfId="1" applyNumberFormat="1" applyFont="1" applyFill="1" applyAlignment="1">
      <alignment horizontal="right" vertical="center" readingOrder="2"/>
    </xf>
    <xf numFmtId="164" fontId="18" fillId="0" borderId="1" xfId="1" applyNumberFormat="1" applyFont="1" applyFill="1" applyBorder="1" applyAlignment="1">
      <alignment horizontal="center" vertical="center"/>
    </xf>
    <xf numFmtId="164" fontId="18" fillId="0" borderId="0" xfId="1" applyNumberFormat="1" applyFont="1" applyFill="1" applyAlignment="1">
      <alignment horizontal="center" vertical="center"/>
    </xf>
    <xf numFmtId="164" fontId="18" fillId="0" borderId="0" xfId="1" applyNumberFormat="1" applyFont="1" applyFill="1" applyAlignment="1">
      <alignment horizontal="center"/>
    </xf>
    <xf numFmtId="164" fontId="32" fillId="0" borderId="0" xfId="1" applyNumberFormat="1" applyFont="1" applyFill="1" applyAlignment="1">
      <alignment vertical="center" wrapText="1"/>
    </xf>
    <xf numFmtId="164" fontId="18" fillId="0" borderId="0" xfId="1" applyNumberFormat="1" applyFont="1" applyFill="1" applyAlignment="1">
      <alignment horizontal="center" vertical="center" readingOrder="2"/>
    </xf>
    <xf numFmtId="164" fontId="40" fillId="0" borderId="0" xfId="1" applyNumberFormat="1" applyFont="1" applyFill="1"/>
    <xf numFmtId="164" fontId="18" fillId="0" borderId="0" xfId="1" applyNumberFormat="1" applyFont="1" applyFill="1" applyAlignment="1">
      <alignment horizontal="right" vertical="center"/>
    </xf>
    <xf numFmtId="164" fontId="12" fillId="0" borderId="0" xfId="1" applyNumberFormat="1" applyFont="1" applyFill="1" applyAlignment="1">
      <alignment horizontal="right" vertical="center"/>
    </xf>
    <xf numFmtId="164" fontId="33" fillId="0" borderId="0" xfId="1" applyNumberFormat="1" applyFont="1" applyFill="1"/>
    <xf numFmtId="37" fontId="16" fillId="0" borderId="0" xfId="1" applyNumberFormat="1" applyFont="1" applyFill="1" applyAlignment="1">
      <alignment horizontal="center" vertical="center" readingOrder="2"/>
    </xf>
    <xf numFmtId="37" fontId="17" fillId="0" borderId="0" xfId="1" applyNumberFormat="1" applyFont="1" applyFill="1" applyAlignment="1">
      <alignment horizontal="center" vertical="center" readingOrder="2"/>
    </xf>
    <xf numFmtId="37" fontId="18" fillId="0" borderId="0" xfId="1" applyNumberFormat="1" applyFont="1" applyFill="1" applyAlignment="1">
      <alignment horizontal="center"/>
    </xf>
    <xf numFmtId="3" fontId="0" fillId="0" borderId="0" xfId="0" applyNumberFormat="1"/>
    <xf numFmtId="169" fontId="48" fillId="0" borderId="0" xfId="5" applyNumberFormat="1" applyFont="1" applyFill="1" applyAlignment="1">
      <alignment horizontal="left" vertical="center" wrapText="1" shrinkToFit="1"/>
    </xf>
    <xf numFmtId="0" fontId="48" fillId="0" borderId="0" xfId="0" applyFont="1" applyAlignment="1">
      <alignment vertical="center"/>
    </xf>
    <xf numFmtId="0" fontId="49" fillId="0" borderId="0" xfId="0" applyFont="1"/>
    <xf numFmtId="0" fontId="51" fillId="0" borderId="0" xfId="0" applyFont="1"/>
    <xf numFmtId="37" fontId="50" fillId="0" borderId="10" xfId="0" applyNumberFormat="1" applyFont="1" applyBorder="1" applyAlignment="1">
      <alignment horizontal="center" vertical="center"/>
    </xf>
    <xf numFmtId="37" fontId="50" fillId="0" borderId="10" xfId="0" applyNumberFormat="1" applyFont="1" applyBorder="1" applyAlignment="1">
      <alignment horizontal="center" vertical="center" wrapText="1"/>
    </xf>
    <xf numFmtId="170" fontId="48" fillId="0" borderId="0" xfId="0" applyNumberFormat="1" applyFont="1" applyAlignment="1">
      <alignment vertical="center"/>
    </xf>
    <xf numFmtId="0" fontId="53" fillId="0" borderId="0" xfId="0" applyFont="1"/>
    <xf numFmtId="164" fontId="52" fillId="0" borderId="0" xfId="0" applyNumberFormat="1" applyFont="1" applyAlignment="1">
      <alignment horizontal="center" vertical="center" wrapText="1" shrinkToFit="1"/>
    </xf>
    <xf numFmtId="0" fontId="53" fillId="0" borderId="0" xfId="0" applyFont="1" applyAlignment="1">
      <alignment horizontal="center"/>
    </xf>
    <xf numFmtId="164" fontId="52" fillId="0" borderId="0" xfId="0" applyNumberFormat="1" applyFont="1" applyAlignment="1">
      <alignment horizontal="left" vertical="center" wrapText="1" shrinkToFit="1"/>
    </xf>
    <xf numFmtId="0" fontId="48" fillId="0" borderId="0" xfId="0" applyFont="1"/>
    <xf numFmtId="171" fontId="48" fillId="0" borderId="0" xfId="5" applyNumberFormat="1" applyFont="1" applyFill="1" applyAlignment="1">
      <alignment horizontal="left" vertical="center" wrapText="1" shrinkToFit="1"/>
    </xf>
    <xf numFmtId="0" fontId="53" fillId="0" borderId="0" xfId="0" applyFont="1" applyAlignment="1">
      <alignment vertical="center"/>
    </xf>
    <xf numFmtId="37" fontId="52" fillId="0" borderId="0" xfId="0" applyNumberFormat="1" applyFont="1" applyAlignment="1">
      <alignment horizontal="center" vertical="center"/>
    </xf>
    <xf numFmtId="164" fontId="0" fillId="0" borderId="0" xfId="0" applyNumberFormat="1"/>
    <xf numFmtId="164" fontId="52" fillId="0" borderId="8" xfId="0" applyNumberFormat="1" applyFont="1" applyBorder="1" applyAlignment="1">
      <alignment horizontal="left" vertical="center" wrapText="1" shrinkToFit="1"/>
    </xf>
    <xf numFmtId="37" fontId="52" fillId="0" borderId="9" xfId="0" applyNumberFormat="1" applyFont="1" applyBorder="1" applyAlignment="1">
      <alignment horizontal="center" vertical="center" wrapText="1"/>
    </xf>
    <xf numFmtId="10" fontId="52" fillId="0" borderId="0" xfId="0" applyNumberFormat="1" applyFont="1" applyAlignment="1">
      <alignment horizontal="center" vertical="center"/>
    </xf>
    <xf numFmtId="164" fontId="16" fillId="0" borderId="0" xfId="1" applyNumberFormat="1" applyFont="1" applyFill="1" applyAlignment="1">
      <alignment horizontal="center"/>
    </xf>
    <xf numFmtId="10" fontId="38" fillId="0" borderId="0" xfId="2" applyNumberFormat="1" applyFont="1" applyFill="1" applyAlignment="1">
      <alignment horizontal="center" vertical="center"/>
    </xf>
    <xf numFmtId="167" fontId="38" fillId="0" borderId="0" xfId="1" applyNumberFormat="1" applyFont="1" applyFill="1" applyAlignment="1">
      <alignment vertical="center"/>
    </xf>
    <xf numFmtId="164" fontId="8" fillId="0" borderId="0" xfId="0" applyNumberFormat="1" applyFont="1" applyFill="1" applyAlignment="1">
      <alignment vertical="center"/>
    </xf>
    <xf numFmtId="164" fontId="8" fillId="0" borderId="0" xfId="0" applyNumberFormat="1" applyFont="1" applyFill="1" applyAlignment="1">
      <alignment horizontal="center" vertical="center" wrapText="1"/>
    </xf>
    <xf numFmtId="43" fontId="8" fillId="0" borderId="0" xfId="1" applyFont="1" applyFill="1" applyAlignment="1">
      <alignment horizontal="center" vertical="center"/>
    </xf>
    <xf numFmtId="43" fontId="8" fillId="0" borderId="0" xfId="0" applyNumberFormat="1" applyFont="1" applyFill="1" applyAlignment="1">
      <alignment horizontal="center" vertical="center"/>
    </xf>
    <xf numFmtId="164" fontId="20" fillId="0" borderId="0" xfId="0" applyNumberFormat="1" applyFont="1" applyFill="1" applyAlignment="1">
      <alignment vertical="center"/>
    </xf>
    <xf numFmtId="164" fontId="10" fillId="0" borderId="0" xfId="0" applyNumberFormat="1" applyFont="1" applyFill="1" applyAlignment="1">
      <alignment horizontal="center" vertical="center"/>
    </xf>
    <xf numFmtId="164" fontId="4" fillId="0" borderId="0" xfId="1" applyNumberFormat="1" applyFont="1" applyFill="1" applyAlignment="1">
      <alignment horizontal="center" vertical="center"/>
    </xf>
    <xf numFmtId="164" fontId="4" fillId="0" borderId="8" xfId="1" applyNumberFormat="1" applyFont="1" applyFill="1" applyBorder="1" applyAlignment="1">
      <alignment vertical="center"/>
    </xf>
    <xf numFmtId="164" fontId="4" fillId="0" borderId="8" xfId="1" applyNumberFormat="1" applyFont="1" applyFill="1" applyBorder="1" applyAlignment="1">
      <alignment horizontal="center" vertical="center"/>
    </xf>
    <xf numFmtId="164" fontId="4" fillId="0" borderId="2" xfId="0" applyNumberFormat="1" applyFont="1" applyFill="1" applyBorder="1" applyAlignment="1">
      <alignment horizontal="center" vertical="center" readingOrder="2"/>
    </xf>
    <xf numFmtId="164" fontId="10" fillId="0" borderId="0" xfId="0" applyNumberFormat="1" applyFont="1" applyFill="1" applyAlignment="1">
      <alignment horizontal="center"/>
    </xf>
    <xf numFmtId="164" fontId="18" fillId="0" borderId="2" xfId="1" applyNumberFormat="1" applyFont="1" applyFill="1" applyBorder="1" applyAlignment="1">
      <alignment vertical="center" readingOrder="2"/>
    </xf>
    <xf numFmtId="164" fontId="18" fillId="0" borderId="2" xfId="1" applyNumberFormat="1" applyFont="1" applyFill="1" applyBorder="1" applyAlignment="1">
      <alignment horizontal="center" vertical="center" readingOrder="2"/>
    </xf>
    <xf numFmtId="164" fontId="13" fillId="0" borderId="8" xfId="1" applyNumberFormat="1" applyFont="1" applyFill="1" applyBorder="1" applyAlignment="1">
      <alignment vertical="center"/>
    </xf>
    <xf numFmtId="164" fontId="22" fillId="0" borderId="0" xfId="1" applyNumberFormat="1" applyFont="1" applyFill="1" applyBorder="1" applyAlignment="1">
      <alignment horizontal="right" vertical="center" wrapText="1" readingOrder="2"/>
    </xf>
    <xf numFmtId="164" fontId="18" fillId="0" borderId="8" xfId="1" applyNumberFormat="1" applyFont="1" applyFill="1" applyBorder="1" applyAlignment="1">
      <alignment vertical="center"/>
    </xf>
    <xf numFmtId="164" fontId="11" fillId="0" borderId="9" xfId="0" applyNumberFormat="1" applyFont="1" applyFill="1" applyBorder="1" applyAlignment="1">
      <alignment horizontal="center" vertical="center"/>
    </xf>
    <xf numFmtId="164" fontId="11" fillId="0" borderId="8" xfId="1" applyNumberFormat="1" applyFont="1" applyFill="1" applyBorder="1" applyAlignment="1">
      <alignment vertical="center"/>
    </xf>
    <xf numFmtId="164" fontId="8" fillId="0" borderId="8" xfId="1" applyNumberFormat="1" applyFont="1" applyFill="1" applyBorder="1" applyAlignment="1">
      <alignment vertical="center" wrapText="1"/>
    </xf>
    <xf numFmtId="0" fontId="8" fillId="0" borderId="0" xfId="0" applyFont="1" applyFill="1" applyAlignment="1">
      <alignment vertical="center"/>
    </xf>
    <xf numFmtId="164" fontId="10" fillId="0" borderId="8" xfId="1" applyNumberFormat="1" applyFont="1" applyFill="1" applyBorder="1" applyAlignment="1">
      <alignment vertical="center"/>
    </xf>
    <xf numFmtId="164" fontId="16" fillId="0" borderId="0" xfId="1" applyNumberFormat="1" applyFont="1" applyFill="1" applyAlignment="1">
      <alignment horizontal="center"/>
    </xf>
    <xf numFmtId="43" fontId="16" fillId="0" borderId="0" xfId="1" applyFont="1" applyFill="1" applyAlignment="1">
      <alignment horizontal="center" vertical="center" readingOrder="2"/>
    </xf>
    <xf numFmtId="43" fontId="16" fillId="0" borderId="0" xfId="1" applyFont="1" applyFill="1" applyAlignment="1">
      <alignment horizontal="center" vertical="center" wrapText="1" shrinkToFit="1" readingOrder="2"/>
    </xf>
    <xf numFmtId="39" fontId="16" fillId="0" borderId="2" xfId="1" applyNumberFormat="1" applyFont="1" applyFill="1" applyBorder="1" applyAlignment="1">
      <alignment horizontal="center" vertical="center" readingOrder="2"/>
    </xf>
    <xf numFmtId="37" fontId="16" fillId="0" borderId="0" xfId="1" applyNumberFormat="1" applyFont="1" applyFill="1" applyAlignment="1">
      <alignment horizontal="right" vertical="center" readingOrder="2"/>
    </xf>
    <xf numFmtId="37" fontId="16" fillId="0" borderId="0" xfId="1" applyNumberFormat="1" applyFont="1" applyAlignment="1">
      <alignment horizontal="right" vertical="center"/>
    </xf>
    <xf numFmtId="37" fontId="16" fillId="0" borderId="15" xfId="1" applyNumberFormat="1" applyFont="1" applyFill="1" applyBorder="1" applyAlignment="1">
      <alignment horizontal="right" vertical="center" readingOrder="2"/>
    </xf>
    <xf numFmtId="37" fontId="16" fillId="0" borderId="2" xfId="1" applyNumberFormat="1" applyFont="1" applyFill="1" applyBorder="1" applyAlignment="1">
      <alignment horizontal="right" vertical="center" readingOrder="2"/>
    </xf>
    <xf numFmtId="164" fontId="18" fillId="0" borderId="0" xfId="1" applyNumberFormat="1" applyFont="1" applyFill="1" applyBorder="1" applyAlignment="1">
      <alignment horizontal="center"/>
    </xf>
    <xf numFmtId="39" fontId="16" fillId="0" borderId="0" xfId="1" applyNumberFormat="1" applyFont="1" applyFill="1" applyBorder="1" applyAlignment="1">
      <alignment horizontal="center" vertical="center" readingOrder="2"/>
    </xf>
    <xf numFmtId="164" fontId="17" fillId="0" borderId="0" xfId="1" applyNumberFormat="1" applyFont="1" applyFill="1" applyBorder="1" applyAlignment="1">
      <alignment vertical="center" readingOrder="2"/>
    </xf>
    <xf numFmtId="164" fontId="16" fillId="0" borderId="0" xfId="1" applyNumberFormat="1" applyFont="1" applyFill="1" applyBorder="1" applyAlignment="1">
      <alignment horizontal="center" vertical="center" wrapText="1" readingOrder="2"/>
    </xf>
    <xf numFmtId="43" fontId="16" fillId="0" borderId="0" xfId="1" applyFont="1" applyFill="1" applyBorder="1" applyAlignment="1">
      <alignment horizontal="center" vertical="center" wrapText="1" shrinkToFit="1" readingOrder="2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 readingOrder="2"/>
    </xf>
    <xf numFmtId="164" fontId="4" fillId="0" borderId="0" xfId="1" applyNumberFormat="1" applyFont="1" applyFill="1" applyBorder="1" applyAlignment="1">
      <alignment horizontal="center" vertical="center" wrapText="1" readingOrder="2"/>
    </xf>
    <xf numFmtId="164" fontId="4" fillId="0" borderId="1" xfId="1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 vertical="center" wrapText="1" readingOrder="2"/>
    </xf>
    <xf numFmtId="0" fontId="7" fillId="0" borderId="0" xfId="0" applyFont="1" applyFill="1" applyAlignment="1">
      <alignment horizontal="center" vertical="center" wrapText="1"/>
    </xf>
    <xf numFmtId="0" fontId="16" fillId="0" borderId="0" xfId="0" applyFont="1" applyFill="1" applyAlignment="1">
      <alignment horizontal="center"/>
    </xf>
    <xf numFmtId="164" fontId="16" fillId="0" borderId="1" xfId="1" applyNumberFormat="1" applyFont="1" applyFill="1" applyBorder="1" applyAlignment="1">
      <alignment horizontal="center" vertical="center" wrapText="1" readingOrder="2"/>
    </xf>
    <xf numFmtId="164" fontId="13" fillId="0" borderId="0" xfId="1" applyNumberFormat="1" applyFont="1" applyFill="1" applyAlignment="1">
      <alignment horizontal="center" vertical="center" wrapText="1"/>
    </xf>
    <xf numFmtId="0" fontId="20" fillId="0" borderId="0" xfId="0" applyFont="1" applyFill="1" applyAlignment="1">
      <alignment horizontal="center"/>
    </xf>
    <xf numFmtId="0" fontId="26" fillId="0" borderId="0" xfId="0" applyFont="1" applyFill="1" applyAlignment="1">
      <alignment horizontal="center" vertical="center" wrapText="1" readingOrder="2"/>
    </xf>
    <xf numFmtId="0" fontId="18" fillId="0" borderId="0" xfId="0" applyFont="1" applyFill="1" applyAlignment="1">
      <alignment vertical="center" wrapText="1"/>
    </xf>
    <xf numFmtId="0" fontId="26" fillId="0" borderId="1" xfId="0" applyFont="1" applyFill="1" applyBorder="1" applyAlignment="1">
      <alignment horizontal="center" vertical="center" wrapText="1" readingOrder="2"/>
    </xf>
    <xf numFmtId="37" fontId="25" fillId="0" borderId="10" xfId="0" applyNumberFormat="1" applyFont="1" applyFill="1" applyBorder="1" applyAlignment="1">
      <alignment horizontal="center" vertical="center"/>
    </xf>
    <xf numFmtId="43" fontId="18" fillId="0" borderId="0" xfId="1" applyFont="1" applyFill="1" applyAlignment="1">
      <alignment horizontal="center" vertical="center"/>
    </xf>
    <xf numFmtId="164" fontId="24" fillId="0" borderId="0" xfId="1" applyNumberFormat="1" applyFont="1" applyFill="1" applyAlignment="1">
      <alignment vertical="center"/>
    </xf>
    <xf numFmtId="165" fontId="46" fillId="0" borderId="0" xfId="1" applyNumberFormat="1" applyFont="1" applyFill="1"/>
    <xf numFmtId="164" fontId="54" fillId="0" borderId="0" xfId="1" applyNumberFormat="1" applyFont="1" applyFill="1" applyAlignment="1">
      <alignment vertical="center"/>
    </xf>
    <xf numFmtId="164" fontId="20" fillId="0" borderId="0" xfId="1" applyNumberFormat="1" applyFont="1" applyFill="1" applyAlignment="1">
      <alignment vertical="center"/>
    </xf>
    <xf numFmtId="0" fontId="30" fillId="0" borderId="0" xfId="0" applyFont="1" applyAlignment="1">
      <alignment horizontal="center" vertical="center"/>
    </xf>
    <xf numFmtId="164" fontId="3" fillId="0" borderId="1" xfId="1" applyNumberFormat="1" applyFont="1" applyFill="1" applyBorder="1" applyAlignment="1">
      <alignment horizontal="center" vertical="center" wrapText="1" readingOrder="2"/>
    </xf>
    <xf numFmtId="0" fontId="3" fillId="0" borderId="1" xfId="0" applyFont="1" applyFill="1" applyBorder="1" applyAlignment="1">
      <alignment horizontal="center" vertical="center" wrapText="1" readingOrder="2"/>
    </xf>
    <xf numFmtId="164" fontId="4" fillId="0" borderId="3" xfId="1" applyNumberFormat="1" applyFont="1" applyFill="1" applyBorder="1" applyAlignment="1">
      <alignment horizontal="center" vertical="center" wrapText="1" readingOrder="2"/>
    </xf>
    <xf numFmtId="164" fontId="4" fillId="0" borderId="0" xfId="1" applyNumberFormat="1" applyFont="1" applyFill="1" applyBorder="1" applyAlignment="1">
      <alignment horizontal="center" vertical="center" wrapText="1" readingOrder="2"/>
    </xf>
    <xf numFmtId="164" fontId="4" fillId="0" borderId="1" xfId="1" applyNumberFormat="1" applyFont="1" applyFill="1" applyBorder="1" applyAlignment="1">
      <alignment horizontal="center" vertical="center" wrapText="1" readingOrder="2"/>
    </xf>
    <xf numFmtId="10" fontId="4" fillId="0" borderId="3" xfId="2" applyNumberFormat="1" applyFont="1" applyFill="1" applyBorder="1" applyAlignment="1">
      <alignment horizontal="center" vertical="center" wrapText="1" readingOrder="2"/>
    </xf>
    <xf numFmtId="10" fontId="4" fillId="0" borderId="1" xfId="2" applyNumberFormat="1" applyFont="1" applyFill="1" applyBorder="1" applyAlignment="1">
      <alignment horizontal="center" vertical="center" wrapText="1" readingOrder="2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 readingOrder="2"/>
    </xf>
    <xf numFmtId="0" fontId="4" fillId="0" borderId="1" xfId="0" applyFont="1" applyFill="1" applyBorder="1" applyAlignment="1">
      <alignment horizontal="center" vertical="center" wrapText="1" readingOrder="2"/>
    </xf>
    <xf numFmtId="164" fontId="4" fillId="0" borderId="3" xfId="1" applyNumberFormat="1" applyFont="1" applyFill="1" applyBorder="1" applyAlignment="1">
      <alignment horizontal="center" vertical="center"/>
    </xf>
    <xf numFmtId="164" fontId="4" fillId="0" borderId="3" xfId="1" applyNumberFormat="1" applyFont="1" applyFill="1" applyBorder="1" applyAlignment="1">
      <alignment horizontal="center" vertical="center" readingOrder="2"/>
    </xf>
    <xf numFmtId="164" fontId="4" fillId="0" borderId="1" xfId="1" applyNumberFormat="1" applyFont="1" applyFill="1" applyBorder="1" applyAlignment="1">
      <alignment horizontal="center" vertical="center" readingOrder="2"/>
    </xf>
    <xf numFmtId="0" fontId="5" fillId="0" borderId="0" xfId="0" applyFont="1" applyFill="1" applyAlignment="1">
      <alignment horizontal="right" vertical="center" readingOrder="2"/>
    </xf>
    <xf numFmtId="164" fontId="4" fillId="0" borderId="1" xfId="1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 wrapText="1" readingOrder="2"/>
    </xf>
    <xf numFmtId="0" fontId="7" fillId="0" borderId="3" xfId="0" applyFont="1" applyFill="1" applyBorder="1" applyAlignment="1">
      <alignment horizontal="center" vertical="center" wrapText="1" readingOrder="2"/>
    </xf>
    <xf numFmtId="0" fontId="7" fillId="0" borderId="1" xfId="0" applyFont="1" applyFill="1" applyBorder="1" applyAlignment="1">
      <alignment horizontal="center" vertical="center" wrapText="1" readingOrder="2"/>
    </xf>
    <xf numFmtId="0" fontId="7" fillId="0" borderId="0" xfId="0" applyFont="1" applyFill="1" applyAlignment="1">
      <alignment horizontal="center"/>
    </xf>
    <xf numFmtId="0" fontId="7" fillId="0" borderId="3" xfId="0" applyFont="1" applyFill="1" applyBorder="1" applyAlignment="1">
      <alignment horizontal="center" vertical="center" readingOrder="2"/>
    </xf>
    <xf numFmtId="0" fontId="7" fillId="0" borderId="1" xfId="0" applyFont="1" applyFill="1" applyBorder="1" applyAlignment="1">
      <alignment horizontal="center" vertical="center" readingOrder="2"/>
    </xf>
    <xf numFmtId="0" fontId="7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right" vertical="center" readingOrder="2"/>
    </xf>
    <xf numFmtId="0" fontId="7" fillId="0" borderId="1" xfId="0" applyFont="1" applyFill="1" applyBorder="1" applyAlignment="1">
      <alignment horizontal="center"/>
    </xf>
    <xf numFmtId="37" fontId="50" fillId="0" borderId="15" xfId="0" applyNumberFormat="1" applyFont="1" applyBorder="1" applyAlignment="1">
      <alignment horizontal="center" vertical="center"/>
    </xf>
    <xf numFmtId="0" fontId="51" fillId="0" borderId="11" xfId="0" applyFont="1" applyBorder="1"/>
    <xf numFmtId="0" fontId="47" fillId="0" borderId="0" xfId="0" applyFont="1" applyAlignment="1">
      <alignment horizontal="center"/>
    </xf>
    <xf numFmtId="37" fontId="50" fillId="0" borderId="0" xfId="0" applyNumberFormat="1" applyFont="1" applyAlignment="1">
      <alignment horizontal="right" vertical="center"/>
    </xf>
    <xf numFmtId="0" fontId="51" fillId="0" borderId="0" xfId="0" applyFont="1"/>
    <xf numFmtId="0" fontId="16" fillId="0" borderId="0" xfId="0" applyFont="1" applyFill="1" applyAlignment="1">
      <alignment horizontal="center"/>
    </xf>
    <xf numFmtId="0" fontId="18" fillId="0" borderId="3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right" vertical="center" readingOrder="2"/>
    </xf>
    <xf numFmtId="0" fontId="16" fillId="0" borderId="1" xfId="0" applyFont="1" applyFill="1" applyBorder="1" applyAlignment="1">
      <alignment horizontal="center" vertical="center" wrapText="1" readingOrder="2"/>
    </xf>
    <xf numFmtId="0" fontId="16" fillId="0" borderId="4" xfId="0" applyFont="1" applyFill="1" applyBorder="1" applyAlignment="1">
      <alignment horizontal="center" vertical="center" wrapText="1" readingOrder="2"/>
    </xf>
    <xf numFmtId="0" fontId="18" fillId="0" borderId="3" xfId="0" applyFont="1" applyFill="1" applyBorder="1" applyAlignment="1">
      <alignment horizontal="center" vertical="center" readingOrder="2"/>
    </xf>
    <xf numFmtId="0" fontId="18" fillId="0" borderId="1" xfId="0" applyFont="1" applyFill="1" applyBorder="1" applyAlignment="1">
      <alignment horizontal="center" vertical="center" readingOrder="2"/>
    </xf>
    <xf numFmtId="0" fontId="18" fillId="0" borderId="0" xfId="0" applyFont="1" applyFill="1" applyAlignment="1">
      <alignment horizontal="center" vertical="center" wrapText="1" readingOrder="2"/>
    </xf>
    <xf numFmtId="0" fontId="18" fillId="0" borderId="1" xfId="0" applyFont="1" applyFill="1" applyBorder="1" applyAlignment="1">
      <alignment horizontal="center" vertical="center" wrapText="1" readingOrder="2"/>
    </xf>
    <xf numFmtId="164" fontId="18" fillId="0" borderId="0" xfId="1" applyNumberFormat="1" applyFont="1" applyFill="1" applyBorder="1" applyAlignment="1">
      <alignment horizontal="center" vertical="center" readingOrder="2"/>
    </xf>
    <xf numFmtId="164" fontId="18" fillId="0" borderId="1" xfId="1" applyNumberFormat="1" applyFont="1" applyFill="1" applyBorder="1" applyAlignment="1">
      <alignment horizontal="center" vertical="center" readingOrder="2"/>
    </xf>
    <xf numFmtId="0" fontId="18" fillId="0" borderId="3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/>
    </xf>
    <xf numFmtId="164" fontId="16" fillId="0" borderId="1" xfId="1" applyNumberFormat="1" applyFont="1" applyFill="1" applyBorder="1" applyAlignment="1">
      <alignment horizontal="center" vertical="center" wrapText="1" readingOrder="2"/>
    </xf>
    <xf numFmtId="164" fontId="16" fillId="0" borderId="0" xfId="1" applyNumberFormat="1" applyFont="1" applyFill="1" applyAlignment="1">
      <alignment horizontal="center"/>
    </xf>
    <xf numFmtId="0" fontId="15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165" fontId="13" fillId="0" borderId="3" xfId="1" applyNumberFormat="1" applyFont="1" applyFill="1" applyBorder="1" applyAlignment="1">
      <alignment horizontal="center" vertical="center" wrapText="1"/>
    </xf>
    <xf numFmtId="165" fontId="13" fillId="0" borderId="0" xfId="1" applyNumberFormat="1" applyFont="1" applyFill="1" applyBorder="1" applyAlignment="1">
      <alignment horizontal="center" vertical="center" wrapText="1"/>
    </xf>
    <xf numFmtId="165" fontId="13" fillId="0" borderId="0" xfId="1" applyNumberFormat="1" applyFont="1" applyFill="1" applyAlignment="1">
      <alignment horizontal="center" vertical="center" wrapText="1"/>
    </xf>
    <xf numFmtId="164" fontId="21" fillId="0" borderId="3" xfId="1" applyNumberFormat="1" applyFont="1" applyFill="1" applyBorder="1" applyAlignment="1">
      <alignment horizontal="center" vertical="center" wrapText="1" readingOrder="2"/>
    </xf>
    <xf numFmtId="164" fontId="21" fillId="0" borderId="0" xfId="1" applyNumberFormat="1" applyFont="1" applyFill="1" applyBorder="1" applyAlignment="1">
      <alignment horizontal="center" vertical="center" wrapText="1" readingOrder="2"/>
    </xf>
    <xf numFmtId="165" fontId="21" fillId="0" borderId="3" xfId="1" applyNumberFormat="1" applyFont="1" applyFill="1" applyBorder="1" applyAlignment="1">
      <alignment horizontal="center" vertical="center" wrapText="1" readingOrder="2"/>
    </xf>
    <xf numFmtId="165" fontId="21" fillId="0" borderId="0" xfId="1" applyNumberFormat="1" applyFont="1" applyFill="1" applyBorder="1" applyAlignment="1">
      <alignment horizontal="center" vertical="center" wrapText="1" readingOrder="2"/>
    </xf>
    <xf numFmtId="0" fontId="21" fillId="0" borderId="3" xfId="0" applyFont="1" applyFill="1" applyBorder="1" applyAlignment="1">
      <alignment horizontal="center" vertical="center" wrapText="1" readingOrder="2"/>
    </xf>
    <xf numFmtId="0" fontId="21" fillId="0" borderId="1" xfId="0" applyFont="1" applyFill="1" applyBorder="1" applyAlignment="1">
      <alignment horizontal="center" vertical="center" wrapText="1" readingOrder="2"/>
    </xf>
    <xf numFmtId="164" fontId="13" fillId="0" borderId="3" xfId="1" applyNumberFormat="1" applyFont="1" applyFill="1" applyBorder="1" applyAlignment="1">
      <alignment horizontal="center" vertical="center" wrapText="1"/>
    </xf>
    <xf numFmtId="164" fontId="13" fillId="0" borderId="0" xfId="1" applyNumberFormat="1" applyFont="1" applyFill="1" applyBorder="1" applyAlignment="1">
      <alignment horizontal="center" vertical="center" wrapText="1"/>
    </xf>
    <xf numFmtId="164" fontId="13" fillId="0" borderId="0" xfId="1" applyNumberFormat="1" applyFont="1" applyFill="1" applyAlignment="1">
      <alignment horizontal="center" vertical="center" wrapText="1"/>
    </xf>
    <xf numFmtId="165" fontId="13" fillId="0" borderId="3" xfId="0" applyNumberFormat="1" applyFont="1" applyFill="1" applyBorder="1" applyAlignment="1">
      <alignment horizontal="center" vertical="center" wrapText="1"/>
    </xf>
    <xf numFmtId="165" fontId="13" fillId="0" borderId="0" xfId="0" applyNumberFormat="1" applyFont="1" applyFill="1" applyAlignment="1">
      <alignment horizontal="center" vertical="center" wrapText="1"/>
    </xf>
    <xf numFmtId="0" fontId="18" fillId="0" borderId="3" xfId="0" applyFont="1" applyFill="1" applyBorder="1" applyAlignment="1">
      <alignment vertical="center" wrapText="1"/>
    </xf>
    <xf numFmtId="0" fontId="18" fillId="0" borderId="0" xfId="0" applyFont="1" applyFill="1" applyAlignment="1">
      <alignment vertical="center" wrapText="1"/>
    </xf>
    <xf numFmtId="0" fontId="26" fillId="0" borderId="3" xfId="0" applyFont="1" applyFill="1" applyBorder="1" applyAlignment="1">
      <alignment horizontal="center" vertical="center" wrapText="1" readingOrder="2"/>
    </xf>
    <xf numFmtId="0" fontId="26" fillId="0" borderId="0" xfId="0" applyFont="1" applyFill="1" applyAlignment="1">
      <alignment horizontal="center" vertical="center" wrapText="1" readingOrder="2"/>
    </xf>
    <xf numFmtId="0" fontId="26" fillId="0" borderId="1" xfId="0" applyFont="1" applyFill="1" applyBorder="1" applyAlignment="1">
      <alignment horizontal="center" vertical="center" wrapText="1" readingOrder="2"/>
    </xf>
    <xf numFmtId="0" fontId="20" fillId="0" borderId="0" xfId="0" applyFont="1" applyFill="1" applyAlignment="1">
      <alignment horizontal="center"/>
    </xf>
    <xf numFmtId="0" fontId="20" fillId="0" borderId="1" xfId="0" applyFont="1" applyFill="1" applyBorder="1" applyAlignment="1">
      <alignment horizontal="center"/>
    </xf>
    <xf numFmtId="0" fontId="26" fillId="0" borderId="4" xfId="0" applyFont="1" applyFill="1" applyBorder="1" applyAlignment="1">
      <alignment horizontal="center" vertical="center" wrapText="1" readingOrder="2"/>
    </xf>
    <xf numFmtId="164" fontId="16" fillId="0" borderId="4" xfId="1" applyNumberFormat="1" applyFont="1" applyFill="1" applyBorder="1" applyAlignment="1">
      <alignment horizontal="center" vertical="center" wrapText="1"/>
    </xf>
    <xf numFmtId="37" fontId="25" fillId="0" borderId="10" xfId="0" applyNumberFormat="1" applyFont="1" applyFill="1" applyBorder="1" applyAlignment="1">
      <alignment horizontal="center" vertical="center"/>
    </xf>
    <xf numFmtId="0" fontId="12" fillId="0" borderId="11" xfId="0" applyFont="1" applyFill="1" applyBorder="1"/>
    <xf numFmtId="0" fontId="23" fillId="0" borderId="0" xfId="0" applyFont="1" applyFill="1" applyAlignment="1">
      <alignment horizontal="right" vertical="center" readingOrder="2"/>
    </xf>
    <xf numFmtId="165" fontId="23" fillId="0" borderId="0" xfId="1" applyNumberFormat="1" applyFont="1" applyFill="1" applyAlignment="1">
      <alignment horizontal="right" vertical="center" readingOrder="2"/>
    </xf>
    <xf numFmtId="164" fontId="21" fillId="0" borderId="1" xfId="1" applyNumberFormat="1" applyFont="1" applyFill="1" applyBorder="1" applyAlignment="1">
      <alignment horizontal="center" vertical="center" wrapText="1" readingOrder="2"/>
    </xf>
    <xf numFmtId="0" fontId="8" fillId="0" borderId="5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45" fillId="0" borderId="0" xfId="0" applyFont="1" applyFill="1" applyAlignment="1">
      <alignment horizontal="center" vertical="center"/>
    </xf>
    <xf numFmtId="0" fontId="18" fillId="0" borderId="5" xfId="0" applyFont="1" applyFill="1" applyBorder="1" applyAlignment="1">
      <alignment horizontal="center"/>
    </xf>
    <xf numFmtId="0" fontId="18" fillId="0" borderId="6" xfId="0" applyFont="1" applyFill="1" applyBorder="1" applyAlignment="1">
      <alignment horizontal="center"/>
    </xf>
    <xf numFmtId="0" fontId="18" fillId="0" borderId="7" xfId="0" applyFont="1" applyFill="1" applyBorder="1" applyAlignment="1">
      <alignment horizontal="center"/>
    </xf>
    <xf numFmtId="0" fontId="20" fillId="0" borderId="0" xfId="0" applyFont="1" applyFill="1" applyAlignment="1">
      <alignment horizontal="center" vertical="center"/>
    </xf>
    <xf numFmtId="3" fontId="4" fillId="0" borderId="0" xfId="1" applyNumberFormat="1" applyFont="1" applyFill="1" applyAlignment="1">
      <alignment horizontal="right" vertical="center"/>
    </xf>
  </cellXfs>
  <cellStyles count="6">
    <cellStyle name="Comma" xfId="1" builtinId="3"/>
    <cellStyle name="Comma 2" xfId="5" xr:uid="{F2B00D3C-5790-4550-A487-9FBEA97624C3}"/>
    <cellStyle name="Hyperlink 2" xfId="4" xr:uid="{00000000-0005-0000-0000-000001000000}"/>
    <cellStyle name="Normal" xfId="0" builtinId="0"/>
    <cellStyle name="Normal 2" xfId="3" xr:uid="{00000000-0005-0000-0000-000003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9066</xdr:colOff>
      <xdr:row>4</xdr:row>
      <xdr:rowOff>142875</xdr:rowOff>
    </xdr:from>
    <xdr:to>
      <xdr:col>8</xdr:col>
      <xdr:colOff>579309</xdr:colOff>
      <xdr:row>17</xdr:row>
      <xdr:rowOff>57150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0C7B3B1-C69C-4450-A32E-C5A9A55E63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2230291" y="1019175"/>
          <a:ext cx="4837443" cy="27622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19050</xdr:rowOff>
    </xdr:from>
    <xdr:to>
      <xdr:col>10</xdr:col>
      <xdr:colOff>0</xdr:colOff>
      <xdr:row>37</xdr:row>
      <xdr:rowOff>2241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811FB73-81A5-4F22-B0C1-C933CF9C08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81590400" y="19050"/>
          <a:ext cx="6096000" cy="78889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8:M31"/>
  <sheetViews>
    <sheetView rightToLeft="1" tabSelected="1" view="pageBreakPreview" zoomScaleNormal="100" zoomScaleSheetLayoutView="100" workbookViewId="0">
      <selection activeCell="N14" sqref="N14"/>
    </sheetView>
  </sheetViews>
  <sheetFormatPr defaultColWidth="9.140625" defaultRowHeight="17.25"/>
  <cols>
    <col min="1" max="16384" width="9.140625" style="1"/>
  </cols>
  <sheetData>
    <row r="18" spans="1:13">
      <c r="M18" s="1" t="s">
        <v>53</v>
      </c>
    </row>
    <row r="24" spans="1:13" ht="15" customHeight="1">
      <c r="A24" s="249" t="s">
        <v>68</v>
      </c>
      <c r="B24" s="249"/>
      <c r="C24" s="249"/>
      <c r="D24" s="249"/>
      <c r="E24" s="249"/>
      <c r="F24" s="249"/>
      <c r="G24" s="249"/>
      <c r="H24" s="249"/>
      <c r="I24" s="249"/>
      <c r="J24" s="249"/>
      <c r="K24" s="3"/>
      <c r="L24" s="3"/>
    </row>
    <row r="25" spans="1:13" ht="15" customHeight="1">
      <c r="A25" s="249"/>
      <c r="B25" s="249"/>
      <c r="C25" s="249"/>
      <c r="D25" s="249"/>
      <c r="E25" s="249"/>
      <c r="F25" s="249"/>
      <c r="G25" s="249"/>
      <c r="H25" s="249"/>
      <c r="I25" s="249"/>
      <c r="J25" s="249"/>
      <c r="K25" s="3"/>
      <c r="L25" s="3"/>
    </row>
    <row r="26" spans="1:13" ht="15" customHeight="1">
      <c r="A26" s="249"/>
      <c r="B26" s="249"/>
      <c r="C26" s="249"/>
      <c r="D26" s="249"/>
      <c r="E26" s="249"/>
      <c r="F26" s="249"/>
      <c r="G26" s="249"/>
      <c r="H26" s="249"/>
      <c r="I26" s="249"/>
      <c r="J26" s="249"/>
      <c r="K26" s="3"/>
      <c r="L26" s="3"/>
    </row>
    <row r="27" spans="1:13">
      <c r="C27" s="1" t="s">
        <v>53</v>
      </c>
    </row>
    <row r="28" spans="1:13" ht="15" customHeight="1">
      <c r="A28" s="249" t="s">
        <v>146</v>
      </c>
      <c r="B28" s="249"/>
      <c r="C28" s="249"/>
      <c r="D28" s="249"/>
      <c r="E28" s="249"/>
      <c r="F28" s="249"/>
      <c r="G28" s="249"/>
      <c r="H28" s="249"/>
      <c r="I28" s="249"/>
      <c r="J28" s="249"/>
      <c r="K28" s="249"/>
      <c r="L28" s="249"/>
    </row>
    <row r="29" spans="1:13" ht="15" customHeight="1">
      <c r="A29" s="249"/>
      <c r="B29" s="249"/>
      <c r="C29" s="249"/>
      <c r="D29" s="249"/>
      <c r="E29" s="249"/>
      <c r="F29" s="249"/>
      <c r="G29" s="249"/>
      <c r="H29" s="249"/>
      <c r="I29" s="249"/>
      <c r="J29" s="249"/>
      <c r="K29" s="249"/>
      <c r="L29" s="249"/>
    </row>
    <row r="30" spans="1:13" ht="15" customHeight="1">
      <c r="A30" s="249"/>
      <c r="B30" s="249"/>
      <c r="C30" s="249"/>
      <c r="D30" s="249"/>
      <c r="E30" s="249"/>
      <c r="F30" s="249"/>
      <c r="G30" s="249"/>
      <c r="H30" s="249"/>
      <c r="I30" s="249"/>
      <c r="J30" s="249"/>
      <c r="K30" s="249"/>
      <c r="L30" s="249"/>
    </row>
    <row r="31" spans="1:13" ht="15" customHeight="1">
      <c r="A31" s="249"/>
      <c r="B31" s="249"/>
      <c r="C31" s="249"/>
      <c r="D31" s="249"/>
      <c r="E31" s="249"/>
      <c r="F31" s="249"/>
      <c r="G31" s="249"/>
      <c r="H31" s="249"/>
      <c r="I31" s="249"/>
      <c r="J31" s="249"/>
      <c r="K31" s="249"/>
      <c r="L31" s="249"/>
    </row>
  </sheetData>
  <mergeCells count="5">
    <mergeCell ref="A24:J26"/>
    <mergeCell ref="A28:J30"/>
    <mergeCell ref="K28:L30"/>
    <mergeCell ref="A31:J31"/>
    <mergeCell ref="K31:L31"/>
  </mergeCells>
  <printOptions horizontalCentered="1"/>
  <pageMargins left="0.25" right="0.25" top="0.75" bottom="0.75" header="0.3" footer="0.3"/>
  <pageSetup paperSize="9" fitToWidth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AG45"/>
  <sheetViews>
    <sheetView rightToLeft="1" view="pageBreakPreview" zoomScale="55" zoomScaleNormal="100" zoomScaleSheetLayoutView="55" workbookViewId="0">
      <selection activeCell="X15" sqref="X15"/>
    </sheetView>
  </sheetViews>
  <sheetFormatPr defaultColWidth="9.140625" defaultRowHeight="30.75"/>
  <cols>
    <col min="1" max="1" width="55.42578125" style="59" bestFit="1" customWidth="1"/>
    <col min="2" max="2" width="1.85546875" style="59" customWidth="1"/>
    <col min="3" max="3" width="22.5703125" style="4" customWidth="1"/>
    <col min="4" max="4" width="1.140625" style="4" customWidth="1"/>
    <col min="5" max="5" width="32" style="4" customWidth="1"/>
    <col min="6" max="6" width="1.42578125" style="4" customWidth="1"/>
    <col min="7" max="7" width="32.140625" style="4" customWidth="1"/>
    <col min="8" max="8" width="1.5703125" style="4" customWidth="1"/>
    <col min="9" max="9" width="20.5703125" style="4" bestFit="1" customWidth="1"/>
    <col min="10" max="10" width="29.140625" style="4" bestFit="1" customWidth="1"/>
    <col min="11" max="11" width="1.42578125" style="4" customWidth="1"/>
    <col min="12" max="12" width="20.7109375" style="4" customWidth="1"/>
    <col min="13" max="13" width="29.140625" style="4" customWidth="1"/>
    <col min="14" max="14" width="1.140625" style="4" customWidth="1"/>
    <col min="15" max="15" width="22.5703125" style="4" bestFit="1" customWidth="1"/>
    <col min="16" max="16" width="1.42578125" style="4" customWidth="1"/>
    <col min="17" max="17" width="18.7109375" style="4" customWidth="1"/>
    <col min="18" max="18" width="1.5703125" style="4" customWidth="1"/>
    <col min="19" max="19" width="32" style="4" bestFit="1" customWidth="1"/>
    <col min="20" max="20" width="1.85546875" style="4" customWidth="1"/>
    <col min="21" max="21" width="37.42578125" style="4" bestFit="1" customWidth="1"/>
    <col min="22" max="22" width="1.5703125" style="59" customWidth="1"/>
    <col min="23" max="23" width="21.85546875" style="9" customWidth="1"/>
    <col min="24" max="24" width="21.140625" style="4" bestFit="1" customWidth="1"/>
    <col min="25" max="25" width="21.7109375" style="4" bestFit="1" customWidth="1"/>
    <col min="26" max="26" width="16.42578125" style="59" customWidth="1"/>
    <col min="27" max="28" width="14.85546875" style="5" bestFit="1" customWidth="1"/>
    <col min="29" max="29" width="17.140625" style="59" bestFit="1" customWidth="1"/>
    <col min="30" max="16384" width="9.140625" style="59"/>
  </cols>
  <sheetData>
    <row r="1" spans="1:33" ht="31.5">
      <c r="A1" s="257" t="s">
        <v>85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7"/>
      <c r="R1" s="257"/>
      <c r="S1" s="257"/>
      <c r="T1" s="257"/>
      <c r="U1" s="257"/>
      <c r="V1" s="257"/>
      <c r="W1" s="257"/>
    </row>
    <row r="2" spans="1:33" ht="31.5">
      <c r="A2" s="257" t="s">
        <v>45</v>
      </c>
      <c r="B2" s="257"/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7"/>
      <c r="R2" s="257"/>
      <c r="S2" s="257"/>
      <c r="T2" s="257"/>
      <c r="U2" s="257"/>
      <c r="V2" s="257"/>
      <c r="W2" s="257"/>
    </row>
    <row r="3" spans="1:33" ht="31.5">
      <c r="A3" s="257" t="s">
        <v>147</v>
      </c>
      <c r="B3" s="257"/>
      <c r="C3" s="257"/>
      <c r="D3" s="257"/>
      <c r="E3" s="257"/>
      <c r="F3" s="257"/>
      <c r="G3" s="257"/>
      <c r="H3" s="257"/>
      <c r="I3" s="257"/>
      <c r="J3" s="257"/>
      <c r="K3" s="257"/>
      <c r="L3" s="257"/>
      <c r="M3" s="257"/>
      <c r="N3" s="257"/>
      <c r="O3" s="257"/>
      <c r="P3" s="257"/>
      <c r="Q3" s="257"/>
      <c r="R3" s="257"/>
      <c r="S3" s="257"/>
      <c r="T3" s="257"/>
      <c r="U3" s="257"/>
      <c r="V3" s="257"/>
      <c r="W3" s="257"/>
    </row>
    <row r="4" spans="1:33" ht="31.5">
      <c r="A4" s="229"/>
      <c r="B4" s="229"/>
      <c r="C4" s="229"/>
      <c r="D4" s="229"/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229"/>
      <c r="P4" s="229"/>
      <c r="Q4" s="229"/>
      <c r="R4" s="229"/>
      <c r="S4" s="229"/>
      <c r="T4" s="229"/>
      <c r="U4" s="229"/>
      <c r="V4" s="229"/>
      <c r="W4" s="229"/>
    </row>
    <row r="5" spans="1:33" ht="31.5">
      <c r="A5" s="263" t="s">
        <v>22</v>
      </c>
      <c r="B5" s="263"/>
      <c r="C5" s="263"/>
      <c r="D5" s="263"/>
      <c r="E5" s="263"/>
      <c r="F5" s="263"/>
      <c r="G5" s="263"/>
      <c r="H5" s="263"/>
      <c r="I5" s="263"/>
      <c r="J5" s="263"/>
      <c r="K5" s="263"/>
      <c r="L5" s="263"/>
      <c r="M5" s="263"/>
      <c r="N5" s="263"/>
      <c r="O5" s="263"/>
      <c r="P5" s="263"/>
      <c r="Q5" s="263"/>
      <c r="R5" s="263"/>
      <c r="S5" s="263"/>
      <c r="T5" s="263"/>
      <c r="U5" s="263"/>
      <c r="V5" s="263"/>
      <c r="W5" s="263"/>
    </row>
    <row r="6" spans="1:33" ht="31.5">
      <c r="A6" s="263" t="s">
        <v>23</v>
      </c>
      <c r="B6" s="263"/>
      <c r="C6" s="263"/>
      <c r="D6" s="263"/>
      <c r="E6" s="263"/>
      <c r="F6" s="263"/>
      <c r="G6" s="263"/>
      <c r="H6" s="263"/>
      <c r="I6" s="263"/>
      <c r="J6" s="263"/>
      <c r="K6" s="263"/>
      <c r="L6" s="263"/>
      <c r="M6" s="263"/>
      <c r="N6" s="263"/>
      <c r="O6" s="263"/>
      <c r="P6" s="263"/>
      <c r="Q6" s="263"/>
      <c r="R6" s="263"/>
      <c r="S6" s="263"/>
      <c r="T6" s="263"/>
      <c r="U6" s="263"/>
      <c r="V6" s="263"/>
      <c r="W6" s="263"/>
    </row>
    <row r="8" spans="1:33" ht="36.75" customHeight="1" thickBot="1">
      <c r="A8" s="60"/>
      <c r="B8" s="61"/>
      <c r="C8" s="250" t="s">
        <v>145</v>
      </c>
      <c r="D8" s="250"/>
      <c r="E8" s="250"/>
      <c r="F8" s="250"/>
      <c r="G8" s="250"/>
      <c r="H8" s="6"/>
      <c r="I8" s="264" t="s">
        <v>7</v>
      </c>
      <c r="J8" s="264"/>
      <c r="K8" s="264"/>
      <c r="L8" s="264"/>
      <c r="M8" s="264"/>
      <c r="O8" s="251" t="s">
        <v>148</v>
      </c>
      <c r="P8" s="251"/>
      <c r="Q8" s="251"/>
      <c r="R8" s="251"/>
      <c r="S8" s="251"/>
      <c r="T8" s="251"/>
      <c r="U8" s="251"/>
      <c r="V8" s="251"/>
      <c r="W8" s="251"/>
    </row>
    <row r="9" spans="1:33" ht="29.25" customHeight="1">
      <c r="A9" s="258" t="s">
        <v>1</v>
      </c>
      <c r="B9" s="62"/>
      <c r="C9" s="261" t="s">
        <v>3</v>
      </c>
      <c r="D9" s="252"/>
      <c r="E9" s="261" t="s">
        <v>0</v>
      </c>
      <c r="F9" s="252"/>
      <c r="G9" s="252" t="s">
        <v>18</v>
      </c>
      <c r="H9" s="53"/>
      <c r="I9" s="260" t="s">
        <v>4</v>
      </c>
      <c r="J9" s="260"/>
      <c r="K9" s="7"/>
      <c r="L9" s="260" t="s">
        <v>5</v>
      </c>
      <c r="M9" s="260"/>
      <c r="O9" s="261" t="s">
        <v>3</v>
      </c>
      <c r="P9" s="253"/>
      <c r="Q9" s="252" t="s">
        <v>30</v>
      </c>
      <c r="R9" s="231"/>
      <c r="S9" s="261" t="s">
        <v>0</v>
      </c>
      <c r="T9" s="253"/>
      <c r="U9" s="252" t="s">
        <v>18</v>
      </c>
      <c r="V9" s="63"/>
      <c r="W9" s="255" t="s">
        <v>19</v>
      </c>
    </row>
    <row r="10" spans="1:33" ht="49.5" customHeight="1" thickBot="1">
      <c r="A10" s="259"/>
      <c r="B10" s="62"/>
      <c r="C10" s="262"/>
      <c r="D10" s="253"/>
      <c r="E10" s="262"/>
      <c r="F10" s="253"/>
      <c r="G10" s="254"/>
      <c r="H10" s="53"/>
      <c r="I10" s="232" t="s">
        <v>3</v>
      </c>
      <c r="J10" s="232" t="s">
        <v>0</v>
      </c>
      <c r="K10" s="7"/>
      <c r="L10" s="232" t="s">
        <v>3</v>
      </c>
      <c r="M10" s="232" t="s">
        <v>44</v>
      </c>
      <c r="O10" s="262"/>
      <c r="P10" s="253"/>
      <c r="Q10" s="254"/>
      <c r="R10" s="231"/>
      <c r="S10" s="262"/>
      <c r="T10" s="253"/>
      <c r="U10" s="254"/>
      <c r="V10" s="63"/>
      <c r="W10" s="256"/>
    </row>
    <row r="11" spans="1:33" ht="28.5" customHeight="1">
      <c r="A11" s="4" t="s">
        <v>97</v>
      </c>
      <c r="C11" s="201">
        <v>43844</v>
      </c>
      <c r="E11" s="4">
        <v>1424167408</v>
      </c>
      <c r="G11" s="201">
        <v>1691897040</v>
      </c>
      <c r="I11" s="4">
        <v>0</v>
      </c>
      <c r="J11" s="4">
        <v>0</v>
      </c>
      <c r="K11" s="64"/>
      <c r="L11" s="4">
        <v>0</v>
      </c>
      <c r="M11" s="4">
        <v>0</v>
      </c>
      <c r="O11" s="4">
        <v>43844</v>
      </c>
      <c r="Q11" s="4">
        <v>30000</v>
      </c>
      <c r="S11" s="4">
        <v>1424167408</v>
      </c>
      <c r="U11" s="201">
        <v>1307493849</v>
      </c>
      <c r="V11" s="64"/>
      <c r="W11" s="8">
        <f>U11/درآمدها!$K$7</f>
        <v>8.1904993752465252E-3</v>
      </c>
      <c r="Z11" s="65"/>
      <c r="AC11" s="65"/>
      <c r="AD11" s="66"/>
      <c r="AE11" s="65"/>
      <c r="AF11" s="66"/>
      <c r="AG11" s="65"/>
    </row>
    <row r="12" spans="1:33" ht="28.5" customHeight="1">
      <c r="A12" s="4" t="s">
        <v>142</v>
      </c>
      <c r="C12" s="201">
        <v>67316</v>
      </c>
      <c r="E12" s="4">
        <v>1308035336</v>
      </c>
      <c r="G12" s="201">
        <v>1248642671</v>
      </c>
      <c r="I12" s="4">
        <v>0</v>
      </c>
      <c r="J12" s="4">
        <v>0</v>
      </c>
      <c r="K12" s="64"/>
      <c r="L12" s="4">
        <v>0</v>
      </c>
      <c r="M12" s="4">
        <v>0</v>
      </c>
      <c r="O12" s="4">
        <v>67316</v>
      </c>
      <c r="Q12" s="4">
        <v>17220</v>
      </c>
      <c r="S12" s="4">
        <v>1308035336</v>
      </c>
      <c r="U12" s="201">
        <v>1152284394</v>
      </c>
      <c r="V12" s="64"/>
      <c r="W12" s="8">
        <f>U12/درآمدها!$K$7</f>
        <v>7.2182248630703275E-3</v>
      </c>
      <c r="Z12" s="65"/>
      <c r="AC12" s="65"/>
      <c r="AD12" s="66"/>
      <c r="AE12" s="65"/>
      <c r="AF12" s="66"/>
      <c r="AG12" s="65"/>
    </row>
    <row r="13" spans="1:33" ht="28.5" customHeight="1">
      <c r="A13" s="4" t="s">
        <v>124</v>
      </c>
      <c r="C13" s="201">
        <v>300000</v>
      </c>
      <c r="E13" s="4">
        <v>6205629600</v>
      </c>
      <c r="G13" s="201">
        <v>6814212750</v>
      </c>
      <c r="I13" s="4">
        <v>0</v>
      </c>
      <c r="J13" s="4">
        <v>0</v>
      </c>
      <c r="K13" s="64"/>
      <c r="L13" s="4">
        <v>80290</v>
      </c>
      <c r="M13" s="4">
        <v>1514604709</v>
      </c>
      <c r="O13" s="4">
        <v>219710</v>
      </c>
      <c r="Q13" s="4">
        <v>18750</v>
      </c>
      <c r="S13" s="4">
        <v>4544796265</v>
      </c>
      <c r="U13" s="201">
        <v>4095051107</v>
      </c>
      <c r="V13" s="64"/>
      <c r="W13" s="8">
        <f>U13/درآمدها!$K$7</f>
        <v>2.5652521087681301E-2</v>
      </c>
      <c r="Z13" s="65"/>
      <c r="AC13" s="65"/>
      <c r="AD13" s="66"/>
      <c r="AE13" s="65"/>
      <c r="AF13" s="66"/>
      <c r="AG13" s="65"/>
    </row>
    <row r="14" spans="1:33" ht="28.5" customHeight="1">
      <c r="A14" s="4" t="s">
        <v>125</v>
      </c>
      <c r="C14" s="201">
        <v>64886</v>
      </c>
      <c r="E14" s="4">
        <v>1121315880</v>
      </c>
      <c r="G14" s="201">
        <v>1411258433</v>
      </c>
      <c r="I14" s="4">
        <v>0</v>
      </c>
      <c r="J14" s="4">
        <v>0</v>
      </c>
      <c r="K14" s="64"/>
      <c r="L14" s="4">
        <v>0</v>
      </c>
      <c r="M14" s="4">
        <v>0</v>
      </c>
      <c r="O14" s="4">
        <v>64886</v>
      </c>
      <c r="Q14" s="4">
        <v>22860</v>
      </c>
      <c r="S14" s="4">
        <v>1121315880</v>
      </c>
      <c r="U14" s="201">
        <v>1474468366</v>
      </c>
      <c r="V14" s="64"/>
      <c r="W14" s="8">
        <f>U14/درآمدها!$K$7</f>
        <v>9.2364734562845087E-3</v>
      </c>
      <c r="Z14" s="65"/>
      <c r="AC14" s="65"/>
      <c r="AD14" s="66"/>
      <c r="AE14" s="65"/>
      <c r="AF14" s="66"/>
      <c r="AG14" s="65"/>
    </row>
    <row r="15" spans="1:33" ht="28.5" customHeight="1">
      <c r="A15" s="4" t="s">
        <v>123</v>
      </c>
      <c r="C15" s="201">
        <v>323373</v>
      </c>
      <c r="E15" s="4">
        <v>4204671763</v>
      </c>
      <c r="G15" s="201">
        <v>4053471018</v>
      </c>
      <c r="I15" s="4">
        <v>0</v>
      </c>
      <c r="J15" s="4">
        <v>0</v>
      </c>
      <c r="K15" s="64"/>
      <c r="L15" s="4">
        <v>54116</v>
      </c>
      <c r="M15" s="4">
        <v>701541144</v>
      </c>
      <c r="O15" s="4">
        <v>269257</v>
      </c>
      <c r="Q15" s="4">
        <v>12770</v>
      </c>
      <c r="S15" s="4">
        <v>3501026075</v>
      </c>
      <c r="U15" s="201">
        <v>3417953342</v>
      </c>
      <c r="V15" s="64"/>
      <c r="W15" s="8">
        <f>U15/درآمدها!$K$7</f>
        <v>2.1410995343254399E-2</v>
      </c>
      <c r="Z15" s="65"/>
      <c r="AC15" s="65"/>
      <c r="AD15" s="66"/>
      <c r="AE15" s="65"/>
      <c r="AF15" s="66"/>
      <c r="AG15" s="65"/>
    </row>
    <row r="16" spans="1:33" ht="28.5" customHeight="1">
      <c r="A16" s="4" t="s">
        <v>86</v>
      </c>
      <c r="C16" s="201">
        <v>188661</v>
      </c>
      <c r="E16" s="4">
        <v>2243919659</v>
      </c>
      <c r="G16" s="201">
        <v>2175446220</v>
      </c>
      <c r="I16" s="4">
        <v>0</v>
      </c>
      <c r="J16" s="4">
        <v>0</v>
      </c>
      <c r="K16" s="64"/>
      <c r="L16" s="4">
        <v>0</v>
      </c>
      <c r="M16" s="4">
        <v>0</v>
      </c>
      <c r="O16" s="4">
        <v>188661</v>
      </c>
      <c r="Q16" s="4">
        <v>11160</v>
      </c>
      <c r="S16" s="4">
        <v>2243919659</v>
      </c>
      <c r="U16" s="201">
        <v>2092929296</v>
      </c>
      <c r="V16" s="64"/>
      <c r="W16" s="8">
        <f>U16/درآمدها!$K$7</f>
        <v>1.3110682015394438E-2</v>
      </c>
      <c r="Z16" s="65"/>
      <c r="AC16" s="65"/>
      <c r="AD16" s="66"/>
      <c r="AE16" s="65"/>
      <c r="AF16" s="66"/>
      <c r="AG16" s="65"/>
    </row>
    <row r="17" spans="1:33" ht="28.5" customHeight="1">
      <c r="A17" s="4" t="s">
        <v>111</v>
      </c>
      <c r="C17" s="201">
        <v>4726647</v>
      </c>
      <c r="E17" s="4">
        <v>15695948477</v>
      </c>
      <c r="G17" s="201">
        <v>14156651159</v>
      </c>
      <c r="I17" s="4">
        <v>0</v>
      </c>
      <c r="J17" s="4">
        <v>0</v>
      </c>
      <c r="K17" s="64"/>
      <c r="L17" s="4">
        <v>1703424</v>
      </c>
      <c r="M17" s="4">
        <v>4681306870</v>
      </c>
      <c r="O17" s="4">
        <v>3023223</v>
      </c>
      <c r="Q17" s="4">
        <v>2699</v>
      </c>
      <c r="S17" s="4">
        <v>10039326491</v>
      </c>
      <c r="U17" s="201">
        <v>8111128791</v>
      </c>
      <c r="V17" s="64"/>
      <c r="W17" s="8">
        <f>U17/درآمدها!$K$7</f>
        <v>5.0810331036004443E-2</v>
      </c>
      <c r="Z17" s="65"/>
      <c r="AC17" s="65"/>
      <c r="AD17" s="66"/>
      <c r="AE17" s="65"/>
      <c r="AF17" s="66"/>
      <c r="AG17" s="65"/>
    </row>
    <row r="18" spans="1:33" ht="28.5" customHeight="1">
      <c r="A18" s="4" t="s">
        <v>126</v>
      </c>
      <c r="C18" s="201">
        <v>4017238</v>
      </c>
      <c r="E18" s="4">
        <v>4831652822</v>
      </c>
      <c r="G18" s="201">
        <v>4500489038</v>
      </c>
      <c r="I18" s="4">
        <v>0</v>
      </c>
      <c r="J18" s="4">
        <v>0</v>
      </c>
      <c r="K18" s="64"/>
      <c r="L18" s="4">
        <v>940240</v>
      </c>
      <c r="M18" s="4">
        <v>1002330747</v>
      </c>
      <c r="O18" s="4">
        <v>3076998</v>
      </c>
      <c r="Q18" s="4">
        <v>1026</v>
      </c>
      <c r="S18" s="4">
        <v>3700797929</v>
      </c>
      <c r="U18" s="201">
        <v>3138215805</v>
      </c>
      <c r="V18" s="64"/>
      <c r="W18" s="8">
        <f>U18/درآمدها!$K$7</f>
        <v>1.9658642837899323E-2</v>
      </c>
      <c r="Z18" s="65"/>
      <c r="AC18" s="65"/>
      <c r="AD18" s="66"/>
      <c r="AE18" s="65"/>
      <c r="AF18" s="66"/>
      <c r="AG18" s="65"/>
    </row>
    <row r="19" spans="1:33" ht="28.5" customHeight="1">
      <c r="A19" s="4" t="s">
        <v>100</v>
      </c>
      <c r="C19" s="201">
        <v>40877</v>
      </c>
      <c r="E19" s="4">
        <v>961580718</v>
      </c>
      <c r="G19" s="201">
        <v>1224295851</v>
      </c>
      <c r="I19" s="4">
        <v>0</v>
      </c>
      <c r="J19" s="4">
        <v>0</v>
      </c>
      <c r="K19" s="64"/>
      <c r="L19" s="4">
        <v>0</v>
      </c>
      <c r="M19" s="4">
        <v>0</v>
      </c>
      <c r="O19" s="4">
        <v>40877</v>
      </c>
      <c r="Q19" s="4">
        <v>25300</v>
      </c>
      <c r="S19" s="4">
        <v>961580718</v>
      </c>
      <c r="U19" s="201">
        <v>1028034684</v>
      </c>
      <c r="V19" s="64"/>
      <c r="W19" s="8">
        <f>U19/درآمدها!$K$7</f>
        <v>6.4398906682992425E-3</v>
      </c>
      <c r="Z19" s="65"/>
      <c r="AC19" s="67"/>
      <c r="AD19" s="66"/>
      <c r="AE19" s="65"/>
      <c r="AF19" s="66"/>
      <c r="AG19" s="65"/>
    </row>
    <row r="20" spans="1:33" ht="28.5" customHeight="1">
      <c r="A20" s="4" t="s">
        <v>88</v>
      </c>
      <c r="C20" s="201">
        <v>224428</v>
      </c>
      <c r="E20" s="4">
        <v>4767009748</v>
      </c>
      <c r="G20" s="201">
        <v>4432851026</v>
      </c>
      <c r="I20" s="4">
        <v>0</v>
      </c>
      <c r="J20" s="4">
        <v>0</v>
      </c>
      <c r="K20" s="64"/>
      <c r="L20" s="4">
        <v>31306</v>
      </c>
      <c r="M20" s="4">
        <v>601365562</v>
      </c>
      <c r="O20" s="4">
        <v>193122</v>
      </c>
      <c r="Q20" s="4">
        <v>18050</v>
      </c>
      <c r="S20" s="4">
        <v>4102048125</v>
      </c>
      <c r="U20" s="201">
        <v>3465111283</v>
      </c>
      <c r="V20" s="64"/>
      <c r="W20" s="8">
        <f>U20/درآمدها!$K$7</f>
        <v>2.1706405594395409E-2</v>
      </c>
      <c r="Z20" s="65"/>
      <c r="AC20" s="65"/>
      <c r="AD20" s="66"/>
      <c r="AE20" s="65"/>
      <c r="AF20" s="66"/>
      <c r="AG20" s="65"/>
    </row>
    <row r="21" spans="1:33" ht="28.5" customHeight="1">
      <c r="A21" s="4" t="s">
        <v>89</v>
      </c>
      <c r="C21" s="201">
        <v>406129</v>
      </c>
      <c r="E21" s="4">
        <v>7451484049</v>
      </c>
      <c r="G21" s="201">
        <v>7351605220</v>
      </c>
      <c r="I21" s="4">
        <v>0</v>
      </c>
      <c r="J21" s="4">
        <v>0</v>
      </c>
      <c r="K21" s="64"/>
      <c r="L21" s="4">
        <v>126401</v>
      </c>
      <c r="M21" s="4">
        <v>2396455475</v>
      </c>
      <c r="O21" s="4">
        <v>279728</v>
      </c>
      <c r="Q21" s="4">
        <v>18550</v>
      </c>
      <c r="S21" s="4">
        <v>5132331673</v>
      </c>
      <c r="U21" s="201">
        <v>5158080124</v>
      </c>
      <c r="V21" s="64"/>
      <c r="W21" s="8">
        <f>U21/درآمدها!$K$7</f>
        <v>3.2311625837020297E-2</v>
      </c>
      <c r="Z21" s="65"/>
      <c r="AC21" s="65"/>
      <c r="AD21" s="66"/>
      <c r="AE21" s="65"/>
      <c r="AF21" s="66"/>
      <c r="AG21" s="65"/>
    </row>
    <row r="22" spans="1:33" ht="28.5" customHeight="1">
      <c r="A22" s="4" t="s">
        <v>149</v>
      </c>
      <c r="C22" s="201">
        <v>0</v>
      </c>
      <c r="E22" s="4">
        <v>0</v>
      </c>
      <c r="G22" s="201">
        <v>0</v>
      </c>
      <c r="I22" s="4">
        <v>625000</v>
      </c>
      <c r="J22" s="4">
        <v>6380788500</v>
      </c>
      <c r="K22" s="64"/>
      <c r="L22" s="4">
        <v>0</v>
      </c>
      <c r="M22" s="4">
        <v>0</v>
      </c>
      <c r="O22" s="4">
        <v>625000</v>
      </c>
      <c r="Q22" s="4">
        <v>9350</v>
      </c>
      <c r="S22" s="4">
        <v>6380788500</v>
      </c>
      <c r="U22" s="201">
        <v>5808979689</v>
      </c>
      <c r="V22" s="64"/>
      <c r="W22" s="8">
        <f>U22/درآمدها!$K$7</f>
        <v>3.6389038885317353E-2</v>
      </c>
      <c r="Z22" s="65"/>
      <c r="AC22" s="65"/>
      <c r="AD22" s="66"/>
      <c r="AE22" s="65"/>
      <c r="AF22" s="66"/>
      <c r="AG22" s="65"/>
    </row>
    <row r="23" spans="1:33" ht="28.5" customHeight="1">
      <c r="A23" s="4" t="s">
        <v>127</v>
      </c>
      <c r="C23" s="201">
        <v>572500</v>
      </c>
      <c r="E23" s="4">
        <v>7563861753</v>
      </c>
      <c r="G23" s="201">
        <v>9065661449</v>
      </c>
      <c r="I23" s="4">
        <v>0</v>
      </c>
      <c r="J23" s="4">
        <v>0</v>
      </c>
      <c r="K23" s="64"/>
      <c r="L23" s="4">
        <v>0</v>
      </c>
      <c r="M23" s="4">
        <v>0</v>
      </c>
      <c r="O23" s="4">
        <v>572500</v>
      </c>
      <c r="Q23" s="4">
        <v>12980</v>
      </c>
      <c r="S23" s="4">
        <v>7563861753</v>
      </c>
      <c r="U23" s="201">
        <v>7386835254</v>
      </c>
      <c r="V23" s="64"/>
      <c r="W23" s="8">
        <f>U23/درآمدها!$K$7</f>
        <v>4.6273158056696913E-2</v>
      </c>
      <c r="Z23" s="65"/>
      <c r="AC23" s="65"/>
      <c r="AD23" s="66"/>
      <c r="AE23" s="65"/>
      <c r="AF23" s="66"/>
      <c r="AG23" s="65"/>
    </row>
    <row r="24" spans="1:33" ht="28.5" customHeight="1">
      <c r="A24" s="4" t="s">
        <v>101</v>
      </c>
      <c r="C24" s="201">
        <v>82402</v>
      </c>
      <c r="E24" s="4">
        <v>1267957275</v>
      </c>
      <c r="G24" s="201">
        <v>1453113706</v>
      </c>
      <c r="I24" s="4">
        <v>0</v>
      </c>
      <c r="J24" s="4">
        <v>0</v>
      </c>
      <c r="K24" s="64"/>
      <c r="L24" s="4">
        <v>18047</v>
      </c>
      <c r="M24" s="4">
        <v>299810206</v>
      </c>
      <c r="O24" s="4">
        <v>64355</v>
      </c>
      <c r="Q24" s="4">
        <v>15860</v>
      </c>
      <c r="S24" s="4">
        <v>990259829</v>
      </c>
      <c r="U24" s="201">
        <v>1014597314</v>
      </c>
      <c r="V24" s="64"/>
      <c r="W24" s="8">
        <f>U24/درآمدها!$K$7</f>
        <v>6.3557153043584244E-3</v>
      </c>
      <c r="Z24" s="65"/>
      <c r="AC24" s="65"/>
      <c r="AD24" s="66"/>
      <c r="AE24" s="65"/>
      <c r="AF24" s="66"/>
      <c r="AG24" s="65"/>
    </row>
    <row r="25" spans="1:33" ht="28.5" customHeight="1">
      <c r="A25" s="4" t="s">
        <v>128</v>
      </c>
      <c r="C25" s="201">
        <v>200000</v>
      </c>
      <c r="E25" s="4">
        <v>1691534520</v>
      </c>
      <c r="G25" s="201">
        <v>1922492700</v>
      </c>
      <c r="I25" s="4">
        <v>0</v>
      </c>
      <c r="J25" s="4">
        <v>0</v>
      </c>
      <c r="K25" s="64"/>
      <c r="L25" s="4">
        <v>0</v>
      </c>
      <c r="M25" s="4">
        <v>0</v>
      </c>
      <c r="O25" s="4">
        <v>200000</v>
      </c>
      <c r="Q25" s="4">
        <v>10440</v>
      </c>
      <c r="S25" s="4">
        <v>1691534520</v>
      </c>
      <c r="U25" s="201">
        <v>2075576400</v>
      </c>
      <c r="V25" s="64"/>
      <c r="W25" s="8">
        <f>U25/درآمدها!$K$7</f>
        <v>1.3001978724778254E-2</v>
      </c>
      <c r="Z25" s="65"/>
      <c r="AC25" s="65"/>
      <c r="AD25" s="66"/>
      <c r="AE25" s="65"/>
      <c r="AF25" s="66"/>
      <c r="AG25" s="65"/>
    </row>
    <row r="26" spans="1:33" ht="28.5" customHeight="1">
      <c r="A26" s="4" t="s">
        <v>110</v>
      </c>
      <c r="C26" s="201">
        <v>631758</v>
      </c>
      <c r="E26" s="4">
        <v>5114796332</v>
      </c>
      <c r="G26" s="201">
        <v>5532671546</v>
      </c>
      <c r="I26" s="4">
        <v>0</v>
      </c>
      <c r="J26" s="4">
        <v>0</v>
      </c>
      <c r="K26" s="64"/>
      <c r="L26" s="4">
        <v>0</v>
      </c>
      <c r="M26" s="4">
        <v>0</v>
      </c>
      <c r="O26" s="4">
        <v>631758</v>
      </c>
      <c r="Q26" s="4">
        <v>9230</v>
      </c>
      <c r="S26" s="4">
        <v>5114796332</v>
      </c>
      <c r="U26" s="201">
        <v>5796431142</v>
      </c>
      <c r="V26" s="64"/>
      <c r="W26" s="8">
        <f>U26/درآمدها!$K$7</f>
        <v>3.6310431351949328E-2</v>
      </c>
      <c r="Z26" s="65"/>
      <c r="AC26" s="65"/>
      <c r="AD26" s="66"/>
      <c r="AE26" s="65"/>
      <c r="AF26" s="66"/>
      <c r="AG26" s="65"/>
    </row>
    <row r="27" spans="1:33" ht="28.5" customHeight="1">
      <c r="A27" s="4" t="s">
        <v>103</v>
      </c>
      <c r="C27" s="201">
        <v>36974</v>
      </c>
      <c r="E27" s="4">
        <v>945143090</v>
      </c>
      <c r="G27" s="201">
        <v>829905429</v>
      </c>
      <c r="I27" s="4">
        <v>0</v>
      </c>
      <c r="J27" s="4">
        <v>0</v>
      </c>
      <c r="K27" s="64"/>
      <c r="L27" s="4">
        <v>0</v>
      </c>
      <c r="M27" s="4">
        <v>0</v>
      </c>
      <c r="O27" s="4">
        <v>36974</v>
      </c>
      <c r="Q27" s="4">
        <v>21510</v>
      </c>
      <c r="S27" s="4">
        <v>945143090</v>
      </c>
      <c r="U27" s="201">
        <v>790578645</v>
      </c>
      <c r="V27" s="64"/>
      <c r="W27" s="8">
        <f>U27/درآمدها!$K$7</f>
        <v>4.9524010402864577E-3</v>
      </c>
      <c r="Z27" s="65"/>
      <c r="AC27" s="65"/>
      <c r="AD27" s="66"/>
      <c r="AE27" s="65"/>
      <c r="AF27" s="66"/>
      <c r="AG27" s="65"/>
    </row>
    <row r="28" spans="1:33" ht="28.5" customHeight="1">
      <c r="A28" s="4" t="s">
        <v>90</v>
      </c>
      <c r="C28" s="201">
        <v>165853</v>
      </c>
      <c r="E28" s="4">
        <v>8529511363</v>
      </c>
      <c r="G28" s="201">
        <v>8505445954</v>
      </c>
      <c r="I28" s="4">
        <v>0</v>
      </c>
      <c r="J28" s="4">
        <v>0</v>
      </c>
      <c r="K28" s="64"/>
      <c r="L28" s="4">
        <v>32937</v>
      </c>
      <c r="M28" s="4">
        <v>1696651760</v>
      </c>
      <c r="O28" s="4">
        <v>132916</v>
      </c>
      <c r="Q28" s="4">
        <v>50790</v>
      </c>
      <c r="S28" s="4">
        <v>6835622705</v>
      </c>
      <c r="U28" s="201">
        <v>6710636361</v>
      </c>
      <c r="V28" s="64"/>
      <c r="W28" s="8">
        <f>U28/درآمدها!$K$7</f>
        <v>4.2037263092529559E-2</v>
      </c>
      <c r="Z28" s="65"/>
      <c r="AC28" s="65"/>
      <c r="AD28" s="66"/>
      <c r="AE28" s="65"/>
      <c r="AF28" s="66"/>
      <c r="AG28" s="65"/>
    </row>
    <row r="29" spans="1:33" ht="28.5" customHeight="1">
      <c r="A29" s="4" t="s">
        <v>91</v>
      </c>
      <c r="C29" s="201">
        <v>1327952</v>
      </c>
      <c r="E29" s="4">
        <v>14156847906</v>
      </c>
      <c r="G29" s="201">
        <v>11220430832</v>
      </c>
      <c r="I29" s="4">
        <v>0</v>
      </c>
      <c r="J29" s="4">
        <v>0</v>
      </c>
      <c r="K29" s="64"/>
      <c r="L29" s="4">
        <v>81785</v>
      </c>
      <c r="M29" s="4">
        <v>703320511</v>
      </c>
      <c r="O29" s="4">
        <v>1246167</v>
      </c>
      <c r="Q29" s="4">
        <v>8380</v>
      </c>
      <c r="S29" s="4">
        <v>13284965635</v>
      </c>
      <c r="U29" s="201">
        <v>10380744330</v>
      </c>
      <c r="V29" s="64"/>
      <c r="W29" s="8">
        <f>U29/درآمدها!$K$7</f>
        <v>6.502782404252741E-2</v>
      </c>
      <c r="Z29" s="65"/>
      <c r="AC29" s="65"/>
      <c r="AD29" s="66"/>
      <c r="AE29" s="65"/>
      <c r="AF29" s="66"/>
      <c r="AG29" s="65"/>
    </row>
    <row r="30" spans="1:33" ht="28.5" customHeight="1">
      <c r="A30" s="4" t="s">
        <v>92</v>
      </c>
      <c r="C30" s="201">
        <v>1116679</v>
      </c>
      <c r="E30" s="4">
        <v>7958841466</v>
      </c>
      <c r="G30" s="201">
        <v>8846977041</v>
      </c>
      <c r="I30" s="4">
        <v>1460623</v>
      </c>
      <c r="J30" s="4">
        <v>0</v>
      </c>
      <c r="K30" s="64"/>
      <c r="L30" s="4">
        <v>465939</v>
      </c>
      <c r="M30" s="4">
        <v>3539292679</v>
      </c>
      <c r="O30" s="4">
        <v>2111363</v>
      </c>
      <c r="Q30" s="4">
        <v>7680</v>
      </c>
      <c r="S30" s="4">
        <v>15048195045</v>
      </c>
      <c r="U30" s="201">
        <v>16118786998</v>
      </c>
      <c r="V30" s="64"/>
      <c r="W30" s="8">
        <f>U30/درآمدها!$K$7</f>
        <v>0.10097249401044854</v>
      </c>
      <c r="Z30" s="65"/>
      <c r="AC30" s="65"/>
      <c r="AD30" s="66"/>
      <c r="AE30" s="65"/>
      <c r="AF30" s="66"/>
      <c r="AG30" s="65"/>
    </row>
    <row r="31" spans="1:33" ht="28.5" customHeight="1">
      <c r="A31" s="4" t="s">
        <v>93</v>
      </c>
      <c r="C31" s="201">
        <v>1795886</v>
      </c>
      <c r="E31" s="4">
        <v>6333376165</v>
      </c>
      <c r="G31" s="201">
        <v>6117882040</v>
      </c>
      <c r="I31" s="4">
        <v>0</v>
      </c>
      <c r="J31" s="4">
        <v>0</v>
      </c>
      <c r="K31" s="64"/>
      <c r="L31" s="4">
        <v>188774</v>
      </c>
      <c r="M31" s="4">
        <v>632869540</v>
      </c>
      <c r="O31" s="4">
        <v>1607112</v>
      </c>
      <c r="Q31" s="4">
        <v>3298</v>
      </c>
      <c r="S31" s="4">
        <v>5667645293</v>
      </c>
      <c r="U31" s="201">
        <v>5268718860</v>
      </c>
      <c r="V31" s="64"/>
      <c r="W31" s="8">
        <f>U31/درآمدها!$K$7</f>
        <v>3.3004697164873302E-2</v>
      </c>
      <c r="Z31" s="65"/>
      <c r="AC31" s="65"/>
      <c r="AD31" s="66"/>
      <c r="AE31" s="65"/>
      <c r="AF31" s="66"/>
      <c r="AG31" s="65"/>
    </row>
    <row r="32" spans="1:33" ht="28.5" customHeight="1">
      <c r="A32" s="4" t="s">
        <v>129</v>
      </c>
      <c r="C32" s="201">
        <v>1460623</v>
      </c>
      <c r="E32" s="4">
        <v>8949590588</v>
      </c>
      <c r="G32" s="201">
        <v>6485781556</v>
      </c>
      <c r="I32" s="4">
        <v>0</v>
      </c>
      <c r="J32" s="4">
        <v>0</v>
      </c>
      <c r="K32" s="64"/>
      <c r="L32" s="4">
        <v>1460623</v>
      </c>
      <c r="M32" s="4">
        <v>0</v>
      </c>
      <c r="O32" s="4">
        <v>0</v>
      </c>
      <c r="Q32" s="4">
        <v>0</v>
      </c>
      <c r="S32" s="4">
        <v>0</v>
      </c>
      <c r="U32" s="201">
        <v>0</v>
      </c>
      <c r="V32" s="64"/>
      <c r="W32" s="8">
        <f>U32/درآمدها!$K$7</f>
        <v>0</v>
      </c>
      <c r="Z32" s="65"/>
      <c r="AC32" s="65"/>
      <c r="AD32" s="66"/>
      <c r="AE32" s="65"/>
      <c r="AF32" s="66"/>
      <c r="AG32" s="65"/>
    </row>
    <row r="33" spans="1:33" ht="28.5" customHeight="1" thickBot="1">
      <c r="A33" s="4" t="s">
        <v>2</v>
      </c>
      <c r="C33" s="201"/>
      <c r="E33" s="202">
        <f>SUM(E11:E32)</f>
        <v>112726875918</v>
      </c>
      <c r="G33" s="203">
        <f>SUM(G11:G32)</f>
        <v>109041182679</v>
      </c>
      <c r="J33" s="202">
        <f>SUM(J11:J32)</f>
        <v>6380788500</v>
      </c>
      <c r="K33" s="64"/>
      <c r="M33" s="202">
        <f>SUM(M11:M32)</f>
        <v>17769549203</v>
      </c>
      <c r="S33" s="202">
        <f>SUM(S11:S32)</f>
        <v>101602158261</v>
      </c>
      <c r="U33" s="202">
        <f>SUM(U11:U32)</f>
        <v>95792636034</v>
      </c>
      <c r="V33" s="64"/>
      <c r="W33" s="57">
        <f>SUM(W11:W32)</f>
        <v>0.6000712937883157</v>
      </c>
      <c r="Z33" s="65"/>
      <c r="AC33" s="65"/>
      <c r="AD33" s="66"/>
      <c r="AE33" s="65"/>
      <c r="AF33" s="66"/>
      <c r="AG33" s="65"/>
    </row>
    <row r="34" spans="1:33" ht="31.5" thickTop="1">
      <c r="A34" s="4"/>
    </row>
    <row r="35" spans="1:33" s="4" customFormat="1"/>
    <row r="36" spans="1:33" s="4" customFormat="1"/>
    <row r="37" spans="1:33" s="4" customFormat="1"/>
    <row r="38" spans="1:33" s="4" customFormat="1"/>
    <row r="39" spans="1:33" s="4" customFormat="1"/>
    <row r="40" spans="1:33" s="4" customFormat="1"/>
    <row r="41" spans="1:33" s="4" customFormat="1"/>
    <row r="42" spans="1:33" s="115" customFormat="1" ht="33"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W42" s="193"/>
      <c r="X42" s="42"/>
      <c r="Y42" s="42"/>
      <c r="AA42" s="194"/>
      <c r="AB42" s="194"/>
    </row>
    <row r="43" spans="1:33" s="115" customFormat="1" ht="33"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W43" s="193"/>
      <c r="X43" s="42"/>
      <c r="Y43" s="42"/>
      <c r="AA43" s="194"/>
      <c r="AB43" s="194"/>
    </row>
    <row r="44" spans="1:33" s="115" customFormat="1" ht="33"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W44" s="193"/>
      <c r="X44" s="42"/>
      <c r="Y44" s="42"/>
      <c r="AA44" s="194"/>
      <c r="AB44" s="194"/>
    </row>
    <row r="45" spans="1:33" s="115" customFormat="1" ht="33"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W45" s="193"/>
      <c r="X45" s="42"/>
      <c r="Y45" s="42"/>
      <c r="AA45" s="194"/>
      <c r="AB45" s="194"/>
    </row>
  </sheetData>
  <autoFilter ref="A10:W10" xr:uid="{00000000-0009-0000-0000-000001000000}">
    <sortState xmlns:xlrd2="http://schemas.microsoft.com/office/spreadsheetml/2017/richdata2" ref="A12:W38">
      <sortCondition descending="1" ref="U10"/>
    </sortState>
  </autoFilter>
  <mergeCells count="23">
    <mergeCell ref="A1:W1"/>
    <mergeCell ref="A2:W2"/>
    <mergeCell ref="A3:W3"/>
    <mergeCell ref="A9:A10"/>
    <mergeCell ref="I9:J9"/>
    <mergeCell ref="L9:M9"/>
    <mergeCell ref="P9:P10"/>
    <mergeCell ref="T9:T10"/>
    <mergeCell ref="S9:S10"/>
    <mergeCell ref="O9:O10"/>
    <mergeCell ref="E9:E10"/>
    <mergeCell ref="C9:C10"/>
    <mergeCell ref="D9:D10"/>
    <mergeCell ref="A6:W6"/>
    <mergeCell ref="A5:W5"/>
    <mergeCell ref="I8:M8"/>
    <mergeCell ref="C8:G8"/>
    <mergeCell ref="O8:W8"/>
    <mergeCell ref="F9:F10"/>
    <mergeCell ref="G9:G10"/>
    <mergeCell ref="U9:U10"/>
    <mergeCell ref="Q9:Q10"/>
    <mergeCell ref="W9:W10"/>
  </mergeCells>
  <printOptions horizontalCentered="1"/>
  <pageMargins left="0" right="0" top="0.74803149606299202" bottom="0.74803149606299202" header="0.31496062992126" footer="0.31496062992126"/>
  <pageSetup paperSize="9" scale="3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AI27"/>
  <sheetViews>
    <sheetView rightToLeft="1" view="pageBreakPreview" zoomScale="60" zoomScaleNormal="100" workbookViewId="0">
      <selection activeCell="A18" sqref="A18"/>
    </sheetView>
  </sheetViews>
  <sheetFormatPr defaultColWidth="9.140625" defaultRowHeight="15.75"/>
  <cols>
    <col min="1" max="1" width="45.7109375" style="131" customWidth="1"/>
    <col min="2" max="2" width="0.5703125" style="131" customWidth="1"/>
    <col min="3" max="3" width="12.5703125" style="131" customWidth="1"/>
    <col min="4" max="4" width="0.5703125" style="131" customWidth="1"/>
    <col min="5" max="5" width="29.140625" style="131" customWidth="1"/>
    <col min="6" max="6" width="0.5703125" style="131" customWidth="1"/>
    <col min="7" max="7" width="15.42578125" style="131" bestFit="1" customWidth="1"/>
    <col min="8" max="8" width="0.5703125" style="131" customWidth="1"/>
    <col min="9" max="9" width="16.5703125" style="131" bestFit="1" customWidth="1"/>
    <col min="10" max="10" width="0.42578125" style="131" customWidth="1"/>
    <col min="11" max="11" width="20.42578125" style="131" bestFit="1" customWidth="1"/>
    <col min="12" max="12" width="0.7109375" style="131" customWidth="1"/>
    <col min="13" max="13" width="13.7109375" style="131" bestFit="1" customWidth="1"/>
    <col min="14" max="14" width="1.140625" style="131" customWidth="1"/>
    <col min="15" max="15" width="24.42578125" style="131" bestFit="1" customWidth="1"/>
    <col min="16" max="16" width="0.5703125" style="131" customWidth="1"/>
    <col min="17" max="17" width="25.42578125" style="131" bestFit="1" customWidth="1"/>
    <col min="18" max="18" width="0.5703125" style="131" customWidth="1"/>
    <col min="19" max="19" width="13.7109375" style="131" bestFit="1" customWidth="1"/>
    <col min="20" max="20" width="25.42578125" style="131" bestFit="1" customWidth="1"/>
    <col min="21" max="21" width="0.5703125" style="131" customWidth="1"/>
    <col min="22" max="22" width="12.140625" style="131" bestFit="1" customWidth="1"/>
    <col min="23" max="23" width="23.7109375" style="131" bestFit="1" customWidth="1"/>
    <col min="24" max="24" width="0.5703125" style="131" customWidth="1"/>
    <col min="25" max="25" width="14.7109375" style="131" bestFit="1" customWidth="1"/>
    <col min="26" max="26" width="0.42578125" style="131" customWidth="1"/>
    <col min="27" max="27" width="23" style="131" bestFit="1" customWidth="1"/>
    <col min="28" max="28" width="0.7109375" style="131" customWidth="1"/>
    <col min="29" max="29" width="25.42578125" style="131" bestFit="1" customWidth="1"/>
    <col min="30" max="30" width="0.7109375" style="131" customWidth="1"/>
    <col min="31" max="31" width="25.42578125" style="131" bestFit="1" customWidth="1"/>
    <col min="32" max="32" width="0.7109375" style="131" customWidth="1"/>
    <col min="33" max="33" width="16.5703125" style="131" customWidth="1"/>
    <col min="34" max="34" width="9.140625" style="131"/>
    <col min="35" max="35" width="25.42578125" style="131" bestFit="1" customWidth="1"/>
    <col min="36" max="16384" width="9.140625" style="131"/>
  </cols>
  <sheetData>
    <row r="1" spans="1:35" s="76" customFormat="1" ht="24.75">
      <c r="A1" s="268" t="s">
        <v>85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268"/>
      <c r="Q1" s="268"/>
      <c r="R1" s="268"/>
      <c r="S1" s="268"/>
      <c r="T1" s="268"/>
      <c r="U1" s="268"/>
      <c r="V1" s="268"/>
      <c r="W1" s="268"/>
      <c r="X1" s="268"/>
      <c r="Y1" s="268"/>
      <c r="Z1" s="268"/>
      <c r="AA1" s="268"/>
      <c r="AB1" s="268"/>
      <c r="AC1" s="268"/>
      <c r="AD1" s="268"/>
      <c r="AE1" s="268"/>
      <c r="AF1" s="268"/>
      <c r="AG1" s="268"/>
    </row>
    <row r="2" spans="1:35" s="76" customFormat="1" ht="24.75">
      <c r="A2" s="268" t="s">
        <v>45</v>
      </c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8"/>
      <c r="O2" s="268"/>
      <c r="P2" s="268"/>
      <c r="Q2" s="268"/>
      <c r="R2" s="268"/>
      <c r="S2" s="268"/>
      <c r="T2" s="268"/>
      <c r="U2" s="268"/>
      <c r="V2" s="268"/>
      <c r="W2" s="268"/>
      <c r="X2" s="268"/>
      <c r="Y2" s="268"/>
      <c r="Z2" s="268"/>
      <c r="AA2" s="268"/>
      <c r="AB2" s="268"/>
      <c r="AC2" s="268"/>
      <c r="AD2" s="268"/>
      <c r="AE2" s="268"/>
      <c r="AF2" s="268"/>
      <c r="AG2" s="268"/>
    </row>
    <row r="3" spans="1:35" s="76" customFormat="1" ht="24.75">
      <c r="A3" s="268" t="str">
        <f>' سهام'!A3:W3</f>
        <v>برای ماه منتهی به 1403/02/31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268"/>
      <c r="M3" s="268"/>
      <c r="N3" s="268"/>
      <c r="O3" s="268"/>
      <c r="P3" s="268"/>
      <c r="Q3" s="268"/>
      <c r="R3" s="268"/>
      <c r="S3" s="268"/>
      <c r="T3" s="268"/>
      <c r="U3" s="268"/>
      <c r="V3" s="268"/>
      <c r="W3" s="268"/>
      <c r="X3" s="268"/>
      <c r="Y3" s="268"/>
      <c r="Z3" s="268"/>
      <c r="AA3" s="268"/>
      <c r="AB3" s="268"/>
      <c r="AC3" s="268"/>
      <c r="AD3" s="268"/>
      <c r="AE3" s="268"/>
      <c r="AF3" s="268"/>
      <c r="AG3" s="268"/>
    </row>
    <row r="4" spans="1:35" s="76" customFormat="1" ht="24.75">
      <c r="A4" s="233"/>
      <c r="B4" s="233"/>
      <c r="C4" s="233"/>
      <c r="D4" s="233"/>
      <c r="E4" s="233"/>
      <c r="F4" s="233"/>
      <c r="G4" s="233"/>
      <c r="H4" s="233"/>
      <c r="I4" s="233"/>
      <c r="J4" s="233"/>
      <c r="K4" s="233"/>
      <c r="L4" s="233"/>
      <c r="M4" s="233"/>
      <c r="N4" s="233"/>
      <c r="O4" s="233"/>
      <c r="P4" s="233"/>
      <c r="Q4" s="233"/>
      <c r="R4" s="233"/>
      <c r="S4" s="233"/>
      <c r="T4" s="233"/>
      <c r="U4" s="233"/>
      <c r="V4" s="233"/>
      <c r="W4" s="233"/>
      <c r="X4" s="233"/>
      <c r="Y4" s="233"/>
      <c r="Z4" s="233"/>
      <c r="AA4" s="233"/>
      <c r="AB4" s="233"/>
      <c r="AC4" s="233"/>
      <c r="AD4" s="233"/>
      <c r="AE4" s="233"/>
      <c r="AF4" s="233"/>
      <c r="AG4" s="233"/>
    </row>
    <row r="5" spans="1:35" ht="24.75">
      <c r="A5" s="274" t="s">
        <v>61</v>
      </c>
      <c r="B5" s="274"/>
      <c r="C5" s="274"/>
      <c r="D5" s="274"/>
      <c r="E5" s="274"/>
      <c r="F5" s="274"/>
      <c r="G5" s="274"/>
      <c r="H5" s="274"/>
      <c r="I5" s="274"/>
      <c r="J5" s="274"/>
      <c r="K5" s="274"/>
      <c r="L5" s="274"/>
      <c r="M5" s="274"/>
      <c r="N5" s="274"/>
      <c r="O5" s="274"/>
      <c r="P5" s="274"/>
      <c r="Q5" s="274"/>
      <c r="R5" s="274"/>
      <c r="S5" s="274"/>
      <c r="T5" s="274"/>
      <c r="U5" s="274"/>
      <c r="V5" s="274"/>
      <c r="W5" s="274"/>
      <c r="X5" s="274"/>
      <c r="Y5" s="274"/>
      <c r="Z5" s="274"/>
      <c r="AA5" s="274"/>
      <c r="AB5" s="274"/>
      <c r="AC5" s="274"/>
      <c r="AD5" s="274"/>
      <c r="AE5" s="274"/>
      <c r="AF5" s="274"/>
      <c r="AG5" s="274"/>
    </row>
    <row r="6" spans="1:35" ht="24.75">
      <c r="A6" s="233"/>
      <c r="B6" s="233"/>
      <c r="C6" s="233"/>
      <c r="D6" s="233"/>
      <c r="E6" s="233"/>
      <c r="F6" s="233"/>
      <c r="G6" s="233"/>
      <c r="H6" s="233"/>
      <c r="I6" s="233"/>
      <c r="J6" s="233"/>
      <c r="K6" s="233"/>
      <c r="L6" s="233"/>
      <c r="M6" s="233"/>
      <c r="N6" s="233"/>
      <c r="O6" s="233"/>
      <c r="P6" s="233"/>
      <c r="Q6" s="233"/>
      <c r="R6" s="233"/>
      <c r="S6" s="233"/>
      <c r="T6" s="233"/>
      <c r="U6" s="233"/>
      <c r="V6" s="233"/>
      <c r="W6" s="233"/>
      <c r="X6" s="233"/>
      <c r="Y6" s="233"/>
      <c r="Z6" s="233"/>
      <c r="AA6" s="233"/>
      <c r="AB6" s="233"/>
      <c r="AC6" s="233"/>
      <c r="AD6" s="233"/>
      <c r="AE6" s="233"/>
      <c r="AF6" s="233"/>
      <c r="AG6" s="233"/>
    </row>
    <row r="7" spans="1:35" ht="27.75" customHeight="1" thickBot="1">
      <c r="A7" s="267" t="s">
        <v>62</v>
      </c>
      <c r="B7" s="267"/>
      <c r="C7" s="267"/>
      <c r="D7" s="267"/>
      <c r="E7" s="267"/>
      <c r="F7" s="267"/>
      <c r="G7" s="267"/>
      <c r="H7" s="267"/>
      <c r="I7" s="267"/>
      <c r="J7" s="267"/>
      <c r="K7" s="267"/>
      <c r="L7" s="267"/>
      <c r="M7" s="267" t="str" cm="1">
        <f t="array" ref="M7:Q7">' سهام'!C8:G8</f>
        <v>1403/01/31</v>
      </c>
      <c r="N7" s="267">
        <v>0</v>
      </c>
      <c r="O7" s="267">
        <v>0</v>
      </c>
      <c r="P7" s="267">
        <v>0</v>
      </c>
      <c r="Q7" s="267">
        <v>0</v>
      </c>
      <c r="R7" s="235"/>
      <c r="S7" s="275" t="s">
        <v>7</v>
      </c>
      <c r="T7" s="275"/>
      <c r="U7" s="275"/>
      <c r="V7" s="275"/>
      <c r="W7" s="275"/>
      <c r="X7" s="233"/>
      <c r="Y7" s="267" t="str" cm="1">
        <f t="array" ref="Y7:AG7">' سهام'!O8:W8</f>
        <v>1403/02/31</v>
      </c>
      <c r="Z7" s="267">
        <v>0</v>
      </c>
      <c r="AA7" s="267">
        <v>0</v>
      </c>
      <c r="AB7" s="267">
        <v>0</v>
      </c>
      <c r="AC7" s="267">
        <v>0</v>
      </c>
      <c r="AD7" s="267">
        <v>0</v>
      </c>
      <c r="AE7" s="267">
        <v>0</v>
      </c>
      <c r="AF7" s="267">
        <v>0</v>
      </c>
      <c r="AG7" s="267">
        <v>0</v>
      </c>
    </row>
    <row r="8" spans="1:35" ht="26.25" customHeight="1">
      <c r="A8" s="265" t="s">
        <v>63</v>
      </c>
      <c r="B8" s="234"/>
      <c r="C8" s="271" t="s">
        <v>64</v>
      </c>
      <c r="D8" s="234"/>
      <c r="E8" s="273" t="s">
        <v>69</v>
      </c>
      <c r="F8" s="234"/>
      <c r="G8" s="266" t="s">
        <v>65</v>
      </c>
      <c r="H8" s="234"/>
      <c r="I8" s="271" t="s">
        <v>20</v>
      </c>
      <c r="J8" s="234"/>
      <c r="K8" s="273" t="s">
        <v>66</v>
      </c>
      <c r="L8" s="132"/>
      <c r="M8" s="269" t="s">
        <v>3</v>
      </c>
      <c r="N8" s="266"/>
      <c r="O8" s="266" t="s">
        <v>0</v>
      </c>
      <c r="P8" s="266"/>
      <c r="Q8" s="266" t="s">
        <v>18</v>
      </c>
      <c r="R8" s="234"/>
      <c r="S8" s="268" t="s">
        <v>4</v>
      </c>
      <c r="T8" s="268"/>
      <c r="U8" s="233"/>
      <c r="V8" s="268" t="s">
        <v>5</v>
      </c>
      <c r="W8" s="268"/>
      <c r="X8" s="233"/>
      <c r="Y8" s="269" t="s">
        <v>3</v>
      </c>
      <c r="Z8" s="265"/>
      <c r="AA8" s="266" t="s">
        <v>67</v>
      </c>
      <c r="AB8" s="234"/>
      <c r="AC8" s="266" t="s">
        <v>0</v>
      </c>
      <c r="AD8" s="265"/>
      <c r="AE8" s="266" t="s">
        <v>18</v>
      </c>
      <c r="AF8" s="133"/>
      <c r="AG8" s="266" t="s">
        <v>19</v>
      </c>
    </row>
    <row r="9" spans="1:35" s="136" customFormat="1" ht="55.5" customHeight="1" thickBot="1">
      <c r="A9" s="267"/>
      <c r="B9" s="234"/>
      <c r="C9" s="272"/>
      <c r="D9" s="234"/>
      <c r="E9" s="272"/>
      <c r="F9" s="234"/>
      <c r="G9" s="267"/>
      <c r="H9" s="234"/>
      <c r="I9" s="272"/>
      <c r="J9" s="234"/>
      <c r="K9" s="272"/>
      <c r="L9" s="235"/>
      <c r="M9" s="270"/>
      <c r="N9" s="265"/>
      <c r="O9" s="267"/>
      <c r="P9" s="265"/>
      <c r="Q9" s="267"/>
      <c r="R9" s="234"/>
      <c r="S9" s="134" t="s">
        <v>3</v>
      </c>
      <c r="T9" s="134" t="s">
        <v>0</v>
      </c>
      <c r="U9" s="135"/>
      <c r="V9" s="134" t="s">
        <v>3</v>
      </c>
      <c r="W9" s="134" t="s">
        <v>44</v>
      </c>
      <c r="X9" s="135"/>
      <c r="Y9" s="270"/>
      <c r="Z9" s="265"/>
      <c r="AA9" s="267"/>
      <c r="AB9" s="234"/>
      <c r="AC9" s="267"/>
      <c r="AD9" s="265"/>
      <c r="AE9" s="267"/>
      <c r="AF9" s="133"/>
      <c r="AG9" s="267"/>
    </row>
    <row r="10" spans="1:35" s="136" customFormat="1" ht="55.5" customHeight="1">
      <c r="A10" s="137" t="s">
        <v>106</v>
      </c>
      <c r="B10" s="234"/>
      <c r="C10" s="138" t="s">
        <v>107</v>
      </c>
      <c r="D10" s="59"/>
      <c r="E10" s="138" t="s">
        <v>107</v>
      </c>
      <c r="F10" s="59"/>
      <c r="G10" s="138" t="s">
        <v>108</v>
      </c>
      <c r="H10" s="59"/>
      <c r="I10" s="138" t="s">
        <v>109</v>
      </c>
      <c r="J10" s="138"/>
      <c r="K10" s="139">
        <v>1000000</v>
      </c>
      <c r="L10" s="235"/>
      <c r="M10" s="4">
        <v>3000</v>
      </c>
      <c r="N10" s="64"/>
      <c r="O10" s="4">
        <v>2082373207</v>
      </c>
      <c r="P10" s="4"/>
      <c r="Q10" s="4">
        <v>2167317105</v>
      </c>
      <c r="R10" s="4"/>
      <c r="S10" s="4">
        <v>0</v>
      </c>
      <c r="T10" s="4">
        <v>0</v>
      </c>
      <c r="U10" s="4"/>
      <c r="V10" s="4">
        <v>0</v>
      </c>
      <c r="W10" s="4">
        <v>0</v>
      </c>
      <c r="X10" s="4"/>
      <c r="Y10" s="4">
        <v>3000</v>
      </c>
      <c r="Z10" s="4"/>
      <c r="AA10" s="338">
        <v>718720</v>
      </c>
      <c r="AB10" s="4"/>
      <c r="AC10" s="4">
        <v>2082373207</v>
      </c>
      <c r="AD10" s="4"/>
      <c r="AE10" s="4">
        <v>2155769197</v>
      </c>
      <c r="AG10" s="8">
        <f>AE10/درآمدها!$K$7</f>
        <v>1.3504328356656157E-2</v>
      </c>
      <c r="AH10" s="200"/>
      <c r="AI10" s="4"/>
    </row>
    <row r="11" spans="1:35" s="136" customFormat="1" ht="55.5" customHeight="1">
      <c r="A11" s="137" t="s">
        <v>112</v>
      </c>
      <c r="B11" s="234"/>
      <c r="C11" s="138" t="s">
        <v>107</v>
      </c>
      <c r="D11" s="59"/>
      <c r="E11" s="138" t="s">
        <v>107</v>
      </c>
      <c r="F11" s="59"/>
      <c r="G11" s="138" t="s">
        <v>115</v>
      </c>
      <c r="H11" s="59"/>
      <c r="I11" s="138" t="s">
        <v>118</v>
      </c>
      <c r="J11" s="138"/>
      <c r="K11" s="139">
        <v>1000000</v>
      </c>
      <c r="L11" s="235"/>
      <c r="M11" s="4">
        <v>15220</v>
      </c>
      <c r="N11" s="64"/>
      <c r="O11" s="4">
        <v>10260017426</v>
      </c>
      <c r="P11" s="4"/>
      <c r="Q11" s="4">
        <v>10535048379</v>
      </c>
      <c r="R11" s="4"/>
      <c r="S11" s="4">
        <v>0</v>
      </c>
      <c r="T11" s="4">
        <v>0</v>
      </c>
      <c r="U11" s="4"/>
      <c r="V11" s="4">
        <v>0</v>
      </c>
      <c r="W11" s="4">
        <v>0</v>
      </c>
      <c r="X11" s="4"/>
      <c r="Y11" s="4">
        <v>15220</v>
      </c>
      <c r="Z11" s="4"/>
      <c r="AA11" s="338">
        <v>682790</v>
      </c>
      <c r="AB11" s="4"/>
      <c r="AC11" s="4">
        <v>10260017426</v>
      </c>
      <c r="AD11" s="4"/>
      <c r="AE11" s="4">
        <v>10390180240</v>
      </c>
      <c r="AG11" s="8">
        <f>AE11/درآمدها!$K$7</f>
        <v>6.5086933165693833E-2</v>
      </c>
      <c r="AH11" s="200"/>
      <c r="AI11" s="4"/>
    </row>
    <row r="12" spans="1:35" s="136" customFormat="1" ht="55.5" customHeight="1">
      <c r="A12" s="137" t="s">
        <v>130</v>
      </c>
      <c r="B12" s="234"/>
      <c r="C12" s="138" t="s">
        <v>107</v>
      </c>
      <c r="D12" s="59"/>
      <c r="E12" s="138" t="s">
        <v>107</v>
      </c>
      <c r="F12" s="59"/>
      <c r="G12" s="138" t="s">
        <v>131</v>
      </c>
      <c r="H12" s="59"/>
      <c r="I12" s="138" t="s">
        <v>132</v>
      </c>
      <c r="J12" s="138"/>
      <c r="K12" s="139">
        <v>1000000</v>
      </c>
      <c r="L12" s="235"/>
      <c r="M12" s="4">
        <v>8000</v>
      </c>
      <c r="N12" s="64"/>
      <c r="O12" s="4">
        <v>4953173588</v>
      </c>
      <c r="P12" s="4"/>
      <c r="Q12" s="4">
        <v>5051404268</v>
      </c>
      <c r="R12" s="4"/>
      <c r="S12" s="4">
        <v>0</v>
      </c>
      <c r="T12" s="4">
        <v>0</v>
      </c>
      <c r="U12" s="4"/>
      <c r="V12" s="4">
        <v>0</v>
      </c>
      <c r="W12" s="4">
        <v>0</v>
      </c>
      <c r="X12" s="4"/>
      <c r="Y12" s="4">
        <v>8000</v>
      </c>
      <c r="Z12" s="4"/>
      <c r="AA12" s="338">
        <v>619990</v>
      </c>
      <c r="AB12" s="4"/>
      <c r="AC12" s="4">
        <v>4953173588</v>
      </c>
      <c r="AD12" s="4"/>
      <c r="AE12" s="4">
        <v>4959021016</v>
      </c>
      <c r="AG12" s="8">
        <f>AE12/درآمدها!$K$7</f>
        <v>3.1064665095324965E-2</v>
      </c>
      <c r="AH12" s="200"/>
      <c r="AI12" s="4"/>
    </row>
    <row r="13" spans="1:35" s="136" customFormat="1" ht="55.5" customHeight="1">
      <c r="A13" s="137" t="s">
        <v>113</v>
      </c>
      <c r="B13" s="234"/>
      <c r="C13" s="138" t="s">
        <v>107</v>
      </c>
      <c r="D13" s="59"/>
      <c r="E13" s="138" t="s">
        <v>107</v>
      </c>
      <c r="F13" s="59"/>
      <c r="G13" s="138" t="s">
        <v>116</v>
      </c>
      <c r="H13" s="59"/>
      <c r="I13" s="138" t="s">
        <v>119</v>
      </c>
      <c r="J13" s="138"/>
      <c r="K13" s="139">
        <v>1000000</v>
      </c>
      <c r="L13" s="235"/>
      <c r="M13" s="4">
        <v>27200</v>
      </c>
      <c r="N13" s="64"/>
      <c r="O13" s="4">
        <v>17696720016</v>
      </c>
      <c r="P13" s="4"/>
      <c r="Q13" s="4">
        <v>18022172890</v>
      </c>
      <c r="R13" s="4"/>
      <c r="S13" s="4">
        <v>0</v>
      </c>
      <c r="T13" s="4">
        <v>0</v>
      </c>
      <c r="U13" s="4"/>
      <c r="V13" s="4">
        <v>2900</v>
      </c>
      <c r="W13" s="4">
        <v>1942763813</v>
      </c>
      <c r="X13" s="4"/>
      <c r="Y13" s="4">
        <v>24300</v>
      </c>
      <c r="Z13" s="4"/>
      <c r="AA13" s="338">
        <v>652920</v>
      </c>
      <c r="AB13" s="4"/>
      <c r="AC13" s="4">
        <v>15809937367</v>
      </c>
      <c r="AD13" s="4"/>
      <c r="AE13" s="4">
        <v>15863080298</v>
      </c>
      <c r="AG13" s="8">
        <f>AE13/درآمدها!$K$7</f>
        <v>9.9370677246111053E-2</v>
      </c>
      <c r="AH13" s="200"/>
      <c r="AI13" s="4"/>
    </row>
    <row r="14" spans="1:35" s="136" customFormat="1" ht="55.5" customHeight="1" thickBot="1">
      <c r="A14" s="137" t="s">
        <v>114</v>
      </c>
      <c r="B14" s="234"/>
      <c r="C14" s="138" t="s">
        <v>107</v>
      </c>
      <c r="D14" s="59"/>
      <c r="E14" s="138" t="s">
        <v>107</v>
      </c>
      <c r="F14" s="59"/>
      <c r="G14" s="138" t="s">
        <v>117</v>
      </c>
      <c r="H14" s="59"/>
      <c r="I14" s="138" t="s">
        <v>120</v>
      </c>
      <c r="J14" s="138"/>
      <c r="K14" s="139">
        <v>1000000</v>
      </c>
      <c r="L14" s="235"/>
      <c r="M14" s="4">
        <v>27300</v>
      </c>
      <c r="N14" s="64"/>
      <c r="O14" s="4">
        <v>14976399978</v>
      </c>
      <c r="P14" s="4"/>
      <c r="Q14" s="4">
        <v>14858607391</v>
      </c>
      <c r="R14" s="4"/>
      <c r="S14" s="4">
        <v>0</v>
      </c>
      <c r="T14" s="4">
        <v>0</v>
      </c>
      <c r="U14" s="4"/>
      <c r="V14" s="4">
        <v>0</v>
      </c>
      <c r="W14" s="4">
        <v>0</v>
      </c>
      <c r="X14" s="4"/>
      <c r="Y14" s="4">
        <v>27300</v>
      </c>
      <c r="Z14" s="4"/>
      <c r="AA14" s="338">
        <v>524500</v>
      </c>
      <c r="AB14" s="4"/>
      <c r="AC14" s="4">
        <v>14976399978</v>
      </c>
      <c r="AD14" s="4"/>
      <c r="AE14" s="4">
        <v>14316254710</v>
      </c>
      <c r="AG14" s="8">
        <f>AE14/درآمدها!$K$7</f>
        <v>8.9680938344609468E-2</v>
      </c>
      <c r="AH14" s="200"/>
      <c r="AI14" s="4"/>
    </row>
    <row r="15" spans="1:35" s="141" customFormat="1" ht="32.25" thickBot="1">
      <c r="A15" s="60" t="s">
        <v>2</v>
      </c>
      <c r="B15" s="230"/>
      <c r="C15" s="230"/>
      <c r="D15" s="230"/>
      <c r="E15" s="230"/>
      <c r="F15" s="230"/>
      <c r="G15" s="230"/>
      <c r="H15" s="230"/>
      <c r="I15" s="230"/>
      <c r="J15" s="230"/>
      <c r="K15" s="230"/>
      <c r="L15" s="230"/>
      <c r="M15" s="4"/>
      <c r="N15" s="131"/>
      <c r="O15" s="204">
        <f>SUM(O10:O14)</f>
        <v>49968684215</v>
      </c>
      <c r="P15" s="131"/>
      <c r="Q15" s="204">
        <f>SUM(Q10:Q14)</f>
        <v>50634550033</v>
      </c>
      <c r="R15" s="131"/>
      <c r="S15" s="205"/>
      <c r="T15" s="204">
        <f>SUM(T10:T14)</f>
        <v>0</v>
      </c>
      <c r="U15" s="131"/>
      <c r="V15" s="205"/>
      <c r="W15" s="204">
        <f>SUM(W10:W14)</f>
        <v>1942763813</v>
      </c>
      <c r="X15" s="131"/>
      <c r="Y15" s="205"/>
      <c r="Z15" s="131"/>
      <c r="AA15" s="131"/>
      <c r="AB15" s="131"/>
      <c r="AC15" s="204">
        <f>SUM(AC10:AC14)</f>
        <v>48081901566</v>
      </c>
      <c r="AD15" s="131"/>
      <c r="AE15" s="204">
        <f>SUM(AE10:AE14)</f>
        <v>47684305461</v>
      </c>
      <c r="AF15" s="131"/>
      <c r="AG15" s="140">
        <f>SUM(AG10:AG14)</f>
        <v>0.29870754220839546</v>
      </c>
    </row>
    <row r="16" spans="1:35" s="142" customFormat="1" ht="32.25" thickTop="1">
      <c r="M16" s="131"/>
      <c r="N16" s="131"/>
      <c r="P16" s="131"/>
      <c r="R16" s="131"/>
      <c r="S16" s="131"/>
      <c r="U16" s="131"/>
      <c r="V16" s="131"/>
      <c r="X16" s="131"/>
      <c r="Y16" s="131"/>
      <c r="Z16" s="131"/>
      <c r="AA16" s="131"/>
      <c r="AB16" s="131"/>
      <c r="AD16" s="131"/>
      <c r="AF16" s="131"/>
    </row>
    <row r="17" spans="23:33" s="4" customFormat="1" ht="30.75">
      <c r="W17" s="66"/>
      <c r="AC17" s="66"/>
      <c r="AE17" s="66"/>
    </row>
    <row r="18" spans="23:33" s="4" customFormat="1" ht="30.75">
      <c r="AG18" s="8"/>
    </row>
    <row r="19" spans="23:33" s="4" customFormat="1" ht="30.75">
      <c r="AG19" s="8"/>
    </row>
    <row r="20" spans="23:33" s="4" customFormat="1" ht="30.75">
      <c r="AG20" s="8"/>
    </row>
    <row r="21" spans="23:33" s="4" customFormat="1" ht="30.75">
      <c r="AG21" s="10"/>
    </row>
    <row r="22" spans="23:33" s="4" customFormat="1" ht="30.75"/>
    <row r="23" spans="23:33" s="4" customFormat="1" ht="30.75"/>
    <row r="24" spans="23:33" s="4" customFormat="1" ht="30.75"/>
    <row r="25" spans="23:33" s="4" customFormat="1" ht="30.75"/>
    <row r="26" spans="23:33" s="4" customFormat="1" ht="30.75"/>
    <row r="27" spans="23:33" s="4" customFormat="1" ht="30.75"/>
  </sheetData>
  <mergeCells count="28">
    <mergeCell ref="A1:AG1"/>
    <mergeCell ref="A2:AG2"/>
    <mergeCell ref="A3:AG3"/>
    <mergeCell ref="A5:AG5"/>
    <mergeCell ref="A7:L7"/>
    <mergeCell ref="M7:Q7"/>
    <mergeCell ref="S7:W7"/>
    <mergeCell ref="Y7:AG7"/>
    <mergeCell ref="Q8:Q9"/>
    <mergeCell ref="A8:A9"/>
    <mergeCell ref="C8:C9"/>
    <mergeCell ref="E8:E9"/>
    <mergeCell ref="G8:G9"/>
    <mergeCell ref="I8:I9"/>
    <mergeCell ref="K8:K9"/>
    <mergeCell ref="M8:M9"/>
    <mergeCell ref="N8:N9"/>
    <mergeCell ref="O8:O9"/>
    <mergeCell ref="P8:P9"/>
    <mergeCell ref="AD8:AD9"/>
    <mergeCell ref="AE8:AE9"/>
    <mergeCell ref="AG8:AG9"/>
    <mergeCell ref="S8:T8"/>
    <mergeCell ref="V8:W8"/>
    <mergeCell ref="Y8:Y9"/>
    <mergeCell ref="Z8:Z9"/>
    <mergeCell ref="AA8:AA9"/>
    <mergeCell ref="AC8:AC9"/>
  </mergeCells>
  <pageMargins left="0.25" right="0.25" top="0.75" bottom="0.75" header="0.3" footer="0.3"/>
  <pageSetup paperSize="9" scale="3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AC881-7777-464D-8E69-C2FA3CF54237}">
  <sheetPr>
    <pageSetUpPr fitToPage="1"/>
  </sheetPr>
  <dimension ref="A1:O15"/>
  <sheetViews>
    <sheetView rightToLeft="1" view="pageBreakPreview" zoomScaleNormal="100" zoomScaleSheetLayoutView="100" workbookViewId="0">
      <selection activeCell="D13" sqref="D13"/>
    </sheetView>
  </sheetViews>
  <sheetFormatPr defaultColWidth="9.140625" defaultRowHeight="22.5"/>
  <cols>
    <col min="1" max="1" width="37.28515625" customWidth="1"/>
    <col min="2" max="2" width="1" customWidth="1"/>
    <col min="3" max="3" width="17.85546875" customWidth="1"/>
    <col min="4" max="4" width="1.140625" customWidth="1"/>
    <col min="5" max="5" width="13.5703125" customWidth="1"/>
    <col min="6" max="6" width="1.140625" customWidth="1"/>
    <col min="7" max="7" width="13.5703125" bestFit="1" customWidth="1"/>
    <col min="8" max="8" width="1.140625" customWidth="1"/>
    <col min="9" max="9" width="10.5703125" bestFit="1" customWidth="1"/>
    <col min="10" max="10" width="0.85546875" customWidth="1"/>
    <col min="11" max="11" width="28.140625" customWidth="1"/>
    <col min="12" max="12" width="1.85546875" customWidth="1"/>
    <col min="13" max="13" width="86.7109375" customWidth="1"/>
    <col min="14" max="14" width="20.42578125" style="173" bestFit="1" customWidth="1"/>
    <col min="15" max="15" width="22.28515625" style="186" customWidth="1"/>
  </cols>
  <sheetData>
    <row r="1" spans="1:15" s="175" customFormat="1" ht="26.25">
      <c r="A1" s="278" t="s">
        <v>85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173"/>
      <c r="O1" s="174"/>
    </row>
    <row r="2" spans="1:15" s="175" customFormat="1" ht="23.25" customHeight="1">
      <c r="A2" s="278" t="s">
        <v>45</v>
      </c>
      <c r="B2" s="278"/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278"/>
      <c r="N2" s="173"/>
      <c r="O2" s="174"/>
    </row>
    <row r="3" spans="1:15" s="175" customFormat="1" ht="24" customHeight="1">
      <c r="A3" s="278" t="str">
        <f>' سهام'!A3:W3</f>
        <v>برای ماه منتهی به 1403/02/31</v>
      </c>
      <c r="B3" s="278"/>
      <c r="C3" s="278"/>
      <c r="D3" s="278"/>
      <c r="E3" s="278"/>
      <c r="F3" s="278"/>
      <c r="G3" s="278"/>
      <c r="H3" s="278"/>
      <c r="I3" s="278"/>
      <c r="J3" s="278"/>
      <c r="K3" s="278"/>
      <c r="L3" s="278"/>
      <c r="M3" s="278"/>
      <c r="N3" s="173"/>
      <c r="O3" s="174"/>
    </row>
    <row r="5" spans="1:15" s="176" customFormat="1">
      <c r="A5" s="279" t="s">
        <v>133</v>
      </c>
      <c r="B5" s="280"/>
      <c r="C5" s="280"/>
      <c r="D5" s="280"/>
      <c r="E5" s="280"/>
      <c r="F5" s="280"/>
      <c r="G5" s="280"/>
      <c r="H5" s="280"/>
      <c r="I5" s="280"/>
      <c r="J5" s="280"/>
      <c r="K5" s="280"/>
      <c r="L5" s="280"/>
      <c r="M5" s="280"/>
      <c r="N5" s="173"/>
      <c r="O5" s="174"/>
    </row>
    <row r="6" spans="1:15" s="176" customFormat="1">
      <c r="A6" s="279" t="s">
        <v>134</v>
      </c>
      <c r="B6" s="280"/>
      <c r="C6" s="280"/>
      <c r="D6" s="280"/>
      <c r="E6" s="280"/>
      <c r="F6" s="280"/>
      <c r="G6" s="280"/>
      <c r="H6" s="280"/>
      <c r="I6" s="280"/>
      <c r="J6" s="280"/>
      <c r="K6" s="280"/>
      <c r="L6" s="280"/>
      <c r="M6" s="280"/>
      <c r="N6" s="173"/>
      <c r="O6" s="174"/>
    </row>
    <row r="7" spans="1:15" s="176" customFormat="1" ht="27" customHeight="1">
      <c r="N7" s="173"/>
      <c r="O7" s="174"/>
    </row>
    <row r="8" spans="1:15" s="176" customFormat="1">
      <c r="C8" s="276" t="s">
        <v>148</v>
      </c>
      <c r="D8" s="277"/>
      <c r="E8" s="277"/>
      <c r="F8" s="277"/>
      <c r="G8" s="277"/>
      <c r="H8" s="277"/>
      <c r="I8" s="277"/>
      <c r="J8" s="277"/>
      <c r="K8" s="277"/>
      <c r="L8" s="277"/>
      <c r="M8" s="277"/>
      <c r="N8" s="173"/>
      <c r="O8" s="174"/>
    </row>
    <row r="9" spans="1:15" s="176" customFormat="1" ht="42">
      <c r="A9" s="177" t="s">
        <v>135</v>
      </c>
      <c r="C9" s="177" t="s">
        <v>136</v>
      </c>
      <c r="E9" s="178" t="s">
        <v>137</v>
      </c>
      <c r="G9" s="177" t="s">
        <v>138</v>
      </c>
      <c r="I9" s="177" t="s">
        <v>139</v>
      </c>
      <c r="K9" s="178" t="s">
        <v>140</v>
      </c>
      <c r="M9" s="177" t="s">
        <v>141</v>
      </c>
      <c r="N9" s="173"/>
      <c r="O9" s="179"/>
    </row>
    <row r="10" spans="1:15" ht="36.75" customHeight="1">
      <c r="A10" s="16">
        <v>0</v>
      </c>
      <c r="B10" s="180"/>
      <c r="C10" s="181">
        <f>IFERROR(VLOOKUP(A10,' سهام'!$A$11:$U$32,15,0),0)</f>
        <v>0</v>
      </c>
      <c r="D10" s="182"/>
      <c r="E10" s="183">
        <v>0</v>
      </c>
      <c r="F10" s="183"/>
      <c r="G10" s="183">
        <v>0</v>
      </c>
      <c r="H10" s="180"/>
      <c r="I10" s="191">
        <v>0</v>
      </c>
      <c r="J10" s="180"/>
      <c r="K10" s="183">
        <f>IFERROR(VLOOKUP(A10,' سهام'!$A$11:$U$32,21,0),0)</f>
        <v>0</v>
      </c>
      <c r="L10" s="184"/>
      <c r="M10" s="190" t="s">
        <v>84</v>
      </c>
      <c r="N10" s="185"/>
    </row>
    <row r="11" spans="1:15" ht="23.25" thickBot="1">
      <c r="A11" s="187"/>
      <c r="B11" s="180"/>
      <c r="C11" s="188"/>
      <c r="D11" s="187"/>
      <c r="E11" s="189"/>
      <c r="F11" s="187"/>
      <c r="G11" s="189"/>
      <c r="H11" s="180"/>
      <c r="I11" s="180"/>
      <c r="J11" s="180"/>
      <c r="K11" s="189">
        <f>SUM(K10)</f>
        <v>0</v>
      </c>
      <c r="L11" s="180"/>
      <c r="M11" s="180"/>
    </row>
    <row r="12" spans="1:15" ht="23.25" thickTop="1"/>
    <row r="13" spans="1:15">
      <c r="C13" s="188"/>
      <c r="K13" s="188"/>
    </row>
    <row r="14" spans="1:15">
      <c r="C14" s="172"/>
    </row>
    <row r="15" spans="1:15">
      <c r="C15" s="188"/>
    </row>
  </sheetData>
  <autoFilter ref="A9:M9" xr:uid="{00000000-0009-0000-0000-000004000000}">
    <sortState xmlns:xlrd2="http://schemas.microsoft.com/office/spreadsheetml/2017/richdata2" ref="A10:P16">
      <sortCondition descending="1" ref="K9"/>
    </sortState>
  </autoFilter>
  <mergeCells count="6">
    <mergeCell ref="C8:M8"/>
    <mergeCell ref="A1:M1"/>
    <mergeCell ref="A2:M2"/>
    <mergeCell ref="A3:M3"/>
    <mergeCell ref="A5:M5"/>
    <mergeCell ref="A6:M6"/>
  </mergeCells>
  <printOptions horizontalCentered="1"/>
  <pageMargins left="0" right="0.28999999999999998" top="0.52" bottom="0" header="0.75" footer="0"/>
  <pageSetup paperSize="9" scale="6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S25"/>
  <sheetViews>
    <sheetView rightToLeft="1" view="pageBreakPreview" zoomScaleNormal="100" zoomScaleSheetLayoutView="100" workbookViewId="0">
      <selection activeCell="C18" sqref="C18"/>
    </sheetView>
  </sheetViews>
  <sheetFormatPr defaultColWidth="9.140625" defaultRowHeight="15"/>
  <cols>
    <col min="1" max="1" width="39.140625" style="68" bestFit="1" customWidth="1"/>
    <col min="2" max="2" width="0.7109375" style="68" customWidth="1"/>
    <col min="3" max="3" width="21.28515625" style="15" customWidth="1"/>
    <col min="4" max="4" width="0.7109375" style="68" customWidth="1"/>
    <col min="5" max="5" width="22.28515625" style="68" customWidth="1"/>
    <col min="6" max="6" width="0.42578125" style="68" customWidth="1"/>
    <col min="7" max="7" width="22.140625" style="68" customWidth="1"/>
    <col min="8" max="8" width="0.42578125" style="68" customWidth="1"/>
    <col min="9" max="9" width="18.42578125" style="68" customWidth="1"/>
    <col min="10" max="10" width="0.5703125" style="68" customWidth="1"/>
    <col min="11" max="11" width="12.140625" style="68" customWidth="1"/>
    <col min="12" max="16384" width="9.140625" style="68"/>
  </cols>
  <sheetData>
    <row r="1" spans="1:19" ht="18.75">
      <c r="A1" s="281" t="s">
        <v>85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</row>
    <row r="2" spans="1:19" ht="18.75">
      <c r="A2" s="281" t="s">
        <v>45</v>
      </c>
      <c r="B2" s="281"/>
      <c r="C2" s="281"/>
      <c r="D2" s="281"/>
      <c r="E2" s="281"/>
      <c r="F2" s="281"/>
      <c r="G2" s="281"/>
      <c r="H2" s="281"/>
      <c r="I2" s="281"/>
      <c r="J2" s="281"/>
      <c r="K2" s="281"/>
    </row>
    <row r="3" spans="1:19" ht="18.75">
      <c r="A3" s="281" t="str">
        <f>' سهام'!A3:W3</f>
        <v>برای ماه منتهی به 1403/02/31</v>
      </c>
      <c r="B3" s="281"/>
      <c r="C3" s="281"/>
      <c r="D3" s="281"/>
      <c r="E3" s="281"/>
      <c r="F3" s="281"/>
      <c r="G3" s="281"/>
      <c r="H3" s="281"/>
      <c r="I3" s="281"/>
      <c r="J3" s="281"/>
      <c r="K3" s="281"/>
    </row>
    <row r="4" spans="1:19" ht="18.75">
      <c r="A4" s="236"/>
      <c r="B4" s="236"/>
      <c r="C4" s="236"/>
      <c r="D4" s="236"/>
      <c r="E4" s="236"/>
      <c r="F4" s="236"/>
      <c r="G4" s="236"/>
      <c r="H4" s="236"/>
      <c r="I4" s="236"/>
      <c r="J4" s="236"/>
      <c r="K4" s="236"/>
    </row>
    <row r="5" spans="1:19" ht="18.75">
      <c r="A5" s="284" t="s">
        <v>46</v>
      </c>
      <c r="B5" s="284"/>
      <c r="C5" s="284"/>
      <c r="D5" s="284"/>
      <c r="E5" s="284"/>
      <c r="F5" s="284"/>
      <c r="G5" s="284"/>
      <c r="H5" s="284"/>
      <c r="I5" s="284"/>
      <c r="J5" s="284"/>
      <c r="K5" s="284"/>
    </row>
    <row r="6" spans="1:19" ht="18.75" thickBot="1">
      <c r="A6" s="69"/>
      <c r="B6" s="69"/>
      <c r="C6" s="11"/>
      <c r="D6" s="70"/>
      <c r="E6" s="70"/>
      <c r="F6" s="70"/>
      <c r="G6" s="70"/>
      <c r="H6" s="70"/>
      <c r="I6" s="70"/>
      <c r="J6" s="70"/>
      <c r="K6" s="70"/>
    </row>
    <row r="7" spans="1:19" ht="18.75" customHeight="1" thickBot="1">
      <c r="A7" s="71"/>
      <c r="B7" s="69"/>
      <c r="C7" s="237" t="str">
        <f>اوراق!M7</f>
        <v>1403/01/31</v>
      </c>
      <c r="D7" s="241"/>
      <c r="E7" s="295" t="s">
        <v>7</v>
      </c>
      <c r="F7" s="295"/>
      <c r="G7" s="295"/>
      <c r="H7" s="69"/>
      <c r="I7" s="285" t="str">
        <f>اوراق!Y7</f>
        <v>1403/02/31</v>
      </c>
      <c r="J7" s="286"/>
      <c r="K7" s="286"/>
    </row>
    <row r="8" spans="1:19" ht="24" customHeight="1">
      <c r="A8" s="289" t="s">
        <v>8</v>
      </c>
      <c r="B8" s="72"/>
      <c r="C8" s="291" t="s">
        <v>6</v>
      </c>
      <c r="D8" s="72"/>
      <c r="E8" s="293" t="s">
        <v>31</v>
      </c>
      <c r="F8" s="73"/>
      <c r="G8" s="293" t="s">
        <v>32</v>
      </c>
      <c r="H8" s="69"/>
      <c r="I8" s="287" t="s">
        <v>6</v>
      </c>
      <c r="J8" s="289"/>
      <c r="K8" s="282" t="s">
        <v>19</v>
      </c>
    </row>
    <row r="9" spans="1:19" ht="18.75" thickBot="1">
      <c r="A9" s="290"/>
      <c r="B9" s="72"/>
      <c r="C9" s="292"/>
      <c r="D9" s="72"/>
      <c r="E9" s="294"/>
      <c r="F9" s="69"/>
      <c r="G9" s="294"/>
      <c r="H9" s="69"/>
      <c r="I9" s="288"/>
      <c r="J9" s="289"/>
      <c r="K9" s="283"/>
    </row>
    <row r="10" spans="1:19" s="69" customFormat="1" ht="18">
      <c r="A10" s="74" t="s">
        <v>94</v>
      </c>
      <c r="C10" s="12">
        <v>668807382</v>
      </c>
      <c r="D10" s="12"/>
      <c r="E10" s="12">
        <v>8186325765</v>
      </c>
      <c r="F10" s="12"/>
      <c r="G10" s="12">
        <v>8848521584</v>
      </c>
      <c r="H10" s="12"/>
      <c r="I10" s="12">
        <v>6611563</v>
      </c>
      <c r="K10" s="13">
        <f>I10/درآمدها!$K$7</f>
        <v>4.1416640439509284E-5</v>
      </c>
      <c r="L10" s="66"/>
      <c r="M10" s="75"/>
      <c r="N10" s="66"/>
      <c r="O10" s="75"/>
      <c r="P10" s="66"/>
      <c r="Q10" s="75"/>
      <c r="R10" s="66"/>
      <c r="S10" s="75"/>
    </row>
    <row r="11" spans="1:19" s="69" customFormat="1" ht="18">
      <c r="A11" s="74" t="s">
        <v>155</v>
      </c>
      <c r="C11" s="12">
        <v>1243179800</v>
      </c>
      <c r="D11" s="12"/>
      <c r="E11" s="12">
        <v>17049555620</v>
      </c>
      <c r="F11" s="12"/>
      <c r="G11" s="12">
        <v>14444637788</v>
      </c>
      <c r="H11" s="12"/>
      <c r="I11" s="12">
        <v>3848097632</v>
      </c>
      <c r="K11" s="13">
        <f>I11/درآمدها!$K$7</f>
        <v>2.4105536920796353E-2</v>
      </c>
      <c r="L11" s="66"/>
      <c r="M11" s="75"/>
      <c r="N11" s="66"/>
      <c r="O11" s="75"/>
      <c r="P11" s="66"/>
      <c r="Q11" s="75"/>
      <c r="R11" s="66"/>
      <c r="S11" s="75"/>
    </row>
    <row r="12" spans="1:19" s="69" customFormat="1" ht="18.75" thickBot="1">
      <c r="A12" s="74" t="s">
        <v>143</v>
      </c>
      <c r="C12" s="12">
        <v>5000000000</v>
      </c>
      <c r="D12" s="12"/>
      <c r="E12" s="12">
        <v>0</v>
      </c>
      <c r="F12" s="12"/>
      <c r="G12" s="12">
        <v>3630000000</v>
      </c>
      <c r="H12" s="12"/>
      <c r="I12" s="12">
        <v>1370000000</v>
      </c>
      <c r="K12" s="13">
        <f>I12/درآمدها!$K$7</f>
        <v>8.582055015149628E-3</v>
      </c>
      <c r="L12" s="66"/>
      <c r="M12" s="75"/>
      <c r="N12" s="66"/>
      <c r="O12" s="75"/>
      <c r="P12" s="66"/>
      <c r="Q12" s="75"/>
      <c r="S12" s="75"/>
    </row>
    <row r="13" spans="1:19" s="69" customFormat="1" ht="24" customHeight="1" thickBot="1">
      <c r="A13" s="72" t="s">
        <v>2</v>
      </c>
      <c r="B13" s="72"/>
      <c r="C13" s="206">
        <f>SUM(C10:C12)</f>
        <v>6911987182</v>
      </c>
      <c r="E13" s="207">
        <f>SUM(E10:E12)</f>
        <v>25235881385</v>
      </c>
      <c r="G13" s="207">
        <f>SUM(G10:G12)</f>
        <v>26923159372</v>
      </c>
      <c r="I13" s="207">
        <f>SUM(I10:I12)</f>
        <v>5224709195</v>
      </c>
      <c r="K13" s="14">
        <f>SUM(K10:K12)</f>
        <v>3.2729008576385492E-2</v>
      </c>
    </row>
    <row r="14" spans="1:19" ht="18.75" thickTop="1">
      <c r="D14" s="69"/>
      <c r="F14" s="69"/>
      <c r="H14" s="69"/>
      <c r="J14" s="69"/>
    </row>
    <row r="15" spans="1:19" ht="18">
      <c r="D15" s="69"/>
      <c r="F15" s="69"/>
      <c r="H15" s="69"/>
      <c r="J15" s="69"/>
    </row>
    <row r="16" spans="1:19" s="12" customFormat="1" ht="18"/>
    <row r="17" spans="12:12" s="12" customFormat="1" ht="18"/>
    <row r="18" spans="12:12" s="12" customFormat="1" ht="18"/>
    <row r="19" spans="12:12" s="12" customFormat="1" ht="18"/>
    <row r="20" spans="12:12" s="12" customFormat="1" ht="18"/>
    <row r="21" spans="12:12" s="12" customFormat="1" ht="18"/>
    <row r="22" spans="12:12" s="12" customFormat="1" ht="18"/>
    <row r="25" spans="12:12">
      <c r="L25" s="143"/>
    </row>
  </sheetData>
  <autoFilter ref="A9:K9" xr:uid="{00000000-0009-0000-0000-000003000000}">
    <sortState xmlns:xlrd2="http://schemas.microsoft.com/office/spreadsheetml/2017/richdata2" ref="A11:K12">
      <sortCondition descending="1" ref="I9"/>
    </sortState>
  </autoFilter>
  <mergeCells count="13">
    <mergeCell ref="A1:K1"/>
    <mergeCell ref="A2:K2"/>
    <mergeCell ref="A3:K3"/>
    <mergeCell ref="K8:K9"/>
    <mergeCell ref="A5:K5"/>
    <mergeCell ref="I7:K7"/>
    <mergeCell ref="I8:I9"/>
    <mergeCell ref="J8:J9"/>
    <mergeCell ref="A8:A9"/>
    <mergeCell ref="C8:C9"/>
    <mergeCell ref="E8:E9"/>
    <mergeCell ref="G8:G9"/>
    <mergeCell ref="E7:G7"/>
  </mergeCells>
  <pageMargins left="0.25" right="0.25" top="0.75" bottom="0.75" header="0.3" footer="0.3"/>
  <pageSetup paperSize="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4" tint="-0.249977111117893"/>
    <pageSetUpPr fitToPage="1"/>
  </sheetPr>
  <dimension ref="A1:V39"/>
  <sheetViews>
    <sheetView rightToLeft="1" view="pageBreakPreview" zoomScaleNormal="100" zoomScaleSheetLayoutView="100" workbookViewId="0">
      <selection activeCell="A17" sqref="A17"/>
    </sheetView>
  </sheetViews>
  <sheetFormatPr defaultColWidth="9.140625" defaultRowHeight="18"/>
  <cols>
    <col min="1" max="1" width="69.85546875" style="167" customWidth="1"/>
    <col min="2" max="2" width="1" style="167" customWidth="1"/>
    <col min="3" max="3" width="9.140625" style="17"/>
    <col min="4" max="4" width="1.140625" style="17" customWidth="1"/>
    <col min="5" max="5" width="25.42578125" style="17" bestFit="1" customWidth="1"/>
    <col min="6" max="6" width="1" style="17" customWidth="1"/>
    <col min="7" max="7" width="19.7109375" style="17" customWidth="1"/>
    <col min="8" max="8" width="0.42578125" style="17" customWidth="1"/>
    <col min="9" max="9" width="24.5703125" style="17" customWidth="1"/>
    <col min="10" max="10" width="2.140625" style="17" customWidth="1"/>
    <col min="11" max="11" width="23.42578125" style="168" bestFit="1" customWidth="1"/>
    <col min="12" max="12" width="17.7109375" style="168" bestFit="1" customWidth="1"/>
    <col min="13" max="13" width="14.28515625" style="17" bestFit="1" customWidth="1"/>
    <col min="14" max="14" width="12.5703125" style="17" bestFit="1" customWidth="1"/>
    <col min="15" max="15" width="9.5703125" style="17" bestFit="1" customWidth="1"/>
    <col min="16" max="16384" width="9.140625" style="17"/>
  </cols>
  <sheetData>
    <row r="1" spans="1:22" ht="21">
      <c r="A1" s="297" t="s">
        <v>85</v>
      </c>
      <c r="B1" s="297"/>
      <c r="C1" s="297"/>
      <c r="D1" s="297"/>
      <c r="E1" s="297"/>
      <c r="F1" s="297"/>
      <c r="G1" s="297"/>
      <c r="H1" s="297"/>
      <c r="I1" s="297"/>
      <c r="J1" s="216"/>
      <c r="K1" s="155"/>
      <c r="L1" s="155"/>
    </row>
    <row r="2" spans="1:22" ht="21">
      <c r="A2" s="297" t="s">
        <v>45</v>
      </c>
      <c r="B2" s="297"/>
      <c r="C2" s="297"/>
      <c r="D2" s="297"/>
      <c r="E2" s="297"/>
      <c r="F2" s="297"/>
      <c r="G2" s="297"/>
      <c r="H2" s="297"/>
      <c r="I2" s="297"/>
      <c r="J2" s="216"/>
      <c r="K2" s="155"/>
      <c r="L2" s="155"/>
    </row>
    <row r="3" spans="1:22" ht="21">
      <c r="A3" s="297" t="str">
        <f>سپرده!A3</f>
        <v>برای ماه منتهی به 1403/02/31</v>
      </c>
      <c r="B3" s="297"/>
      <c r="C3" s="297"/>
      <c r="D3" s="297"/>
      <c r="E3" s="297"/>
      <c r="F3" s="297"/>
      <c r="G3" s="297"/>
      <c r="H3" s="297"/>
      <c r="I3" s="297"/>
      <c r="J3" s="216"/>
      <c r="K3" s="155"/>
      <c r="L3" s="155"/>
    </row>
    <row r="4" spans="1:22" ht="21">
      <c r="A4" s="192"/>
      <c r="B4" s="192"/>
      <c r="C4" s="192"/>
      <c r="D4" s="192"/>
      <c r="E4" s="192"/>
      <c r="F4" s="192"/>
      <c r="G4" s="192"/>
      <c r="H4" s="192"/>
      <c r="I4" s="192"/>
      <c r="J4" s="216"/>
      <c r="K4" s="155"/>
      <c r="L4" s="155"/>
    </row>
    <row r="5" spans="1:22" ht="19.5" thickBot="1">
      <c r="A5" s="284" t="s">
        <v>24</v>
      </c>
      <c r="B5" s="284"/>
      <c r="C5" s="284"/>
      <c r="D5" s="284"/>
      <c r="E5" s="284"/>
      <c r="F5" s="284"/>
      <c r="G5" s="284"/>
      <c r="H5" s="284"/>
      <c r="I5" s="284"/>
      <c r="J5" s="284"/>
      <c r="K5" s="284"/>
      <c r="L5" s="284"/>
      <c r="M5" s="284"/>
      <c r="N5" s="284"/>
      <c r="O5" s="284"/>
      <c r="P5" s="284"/>
      <c r="Q5" s="284"/>
      <c r="R5" s="284"/>
      <c r="S5" s="284"/>
      <c r="T5" s="284"/>
      <c r="U5" s="284"/>
      <c r="V5" s="284"/>
    </row>
    <row r="6" spans="1:22" ht="21.75" customHeight="1" thickBot="1">
      <c r="B6" s="157"/>
      <c r="C6" s="157"/>
      <c r="D6" s="157"/>
      <c r="E6" s="157"/>
      <c r="F6" s="157"/>
      <c r="G6" s="157"/>
      <c r="H6" s="157"/>
      <c r="I6" s="157"/>
      <c r="J6" s="226"/>
      <c r="K6" s="158">
        <v>15316907476</v>
      </c>
      <c r="L6" s="159" t="s">
        <v>83</v>
      </c>
    </row>
    <row r="7" spans="1:22" ht="21.75" customHeight="1" thickBot="1">
      <c r="A7" s="156"/>
      <c r="B7" s="156"/>
      <c r="C7" s="156"/>
      <c r="D7" s="156"/>
      <c r="E7" s="296" t="str">
        <f>اوراق!Y7</f>
        <v>1403/02/31</v>
      </c>
      <c r="F7" s="296"/>
      <c r="G7" s="296"/>
      <c r="H7" s="296"/>
      <c r="I7" s="296"/>
      <c r="J7" s="227"/>
      <c r="K7" s="158">
        <v>159635425033</v>
      </c>
      <c r="L7" s="159" t="s">
        <v>82</v>
      </c>
    </row>
    <row r="8" spans="1:22" ht="21" customHeight="1" thickBot="1">
      <c r="A8" s="160" t="s">
        <v>33</v>
      </c>
      <c r="B8" s="161"/>
      <c r="C8" s="79" t="s">
        <v>34</v>
      </c>
      <c r="D8" s="162"/>
      <c r="E8" s="79" t="s">
        <v>6</v>
      </c>
      <c r="F8" s="162"/>
      <c r="G8" s="79" t="s">
        <v>16</v>
      </c>
      <c r="H8" s="162"/>
      <c r="I8" s="79" t="s">
        <v>81</v>
      </c>
      <c r="J8" s="224"/>
      <c r="K8" s="163"/>
      <c r="L8" s="163"/>
    </row>
    <row r="9" spans="1:22" ht="18.75" customHeight="1">
      <c r="A9" s="80" t="s">
        <v>95</v>
      </c>
      <c r="B9" s="80"/>
      <c r="C9" s="164" t="s">
        <v>47</v>
      </c>
      <c r="D9" s="157"/>
      <c r="E9" s="220">
        <f>'درآمد سرمایه گذاری در سهام '!S40</f>
        <v>13880421996</v>
      </c>
      <c r="F9" s="170"/>
      <c r="G9" s="218">
        <f>E9/$E$13*100</f>
        <v>96.856234832247495</v>
      </c>
      <c r="H9" s="217"/>
      <c r="I9" s="218">
        <f>E9/$K$7*100</f>
        <v>8.6950762922018257</v>
      </c>
      <c r="J9" s="228"/>
      <c r="K9" s="163"/>
      <c r="L9" s="163"/>
    </row>
    <row r="10" spans="1:22" ht="18.75" customHeight="1">
      <c r="A10" s="80" t="s">
        <v>42</v>
      </c>
      <c r="B10" s="80"/>
      <c r="C10" s="164" t="s">
        <v>48</v>
      </c>
      <c r="D10" s="157"/>
      <c r="E10" s="221">
        <f>'درآمد سرمایه گذاری در اوراق بها'!O16</f>
        <v>138290386</v>
      </c>
      <c r="F10" s="170"/>
      <c r="G10" s="218">
        <f t="shared" ref="G10:G12" si="0">E10/$E$13*100</f>
        <v>0.96497686491938495</v>
      </c>
      <c r="H10" s="217"/>
      <c r="I10" s="218">
        <f t="shared" ref="I10:I12" si="1">E10/$K$7*100</f>
        <v>8.6628883264107864E-2</v>
      </c>
      <c r="J10" s="228"/>
      <c r="K10" s="163"/>
      <c r="L10" s="163"/>
      <c r="M10" s="163"/>
      <c r="O10" s="165"/>
    </row>
    <row r="11" spans="1:22" ht="19.5" customHeight="1">
      <c r="A11" s="80" t="s">
        <v>43</v>
      </c>
      <c r="B11" s="80"/>
      <c r="C11" s="164" t="s">
        <v>49</v>
      </c>
      <c r="D11" s="157"/>
      <c r="E11" s="220">
        <f>'درآمد سپرده بانکی'!G12</f>
        <v>277422536</v>
      </c>
      <c r="F11" s="170"/>
      <c r="G11" s="218">
        <f t="shared" si="0"/>
        <v>1.9358274771701423</v>
      </c>
      <c r="H11" s="217"/>
      <c r="I11" s="218">
        <f t="shared" si="1"/>
        <v>0.17378507053973197</v>
      </c>
      <c r="J11" s="218"/>
      <c r="K11" s="163"/>
      <c r="L11" s="163"/>
      <c r="O11" s="165"/>
    </row>
    <row r="12" spans="1:22" ht="19.5" customHeight="1" thickBot="1">
      <c r="A12" s="80" t="s">
        <v>29</v>
      </c>
      <c r="B12" s="80"/>
      <c r="C12" s="164" t="s">
        <v>50</v>
      </c>
      <c r="D12" s="157"/>
      <c r="E12" s="222">
        <f>'سایر درآمدها'!E12</f>
        <v>34818603</v>
      </c>
      <c r="F12" s="170"/>
      <c r="G12" s="218">
        <f t="shared" si="0"/>
        <v>0.24296082566298347</v>
      </c>
      <c r="H12" s="217"/>
      <c r="I12" s="218">
        <f t="shared" si="1"/>
        <v>2.1811326021653567E-2</v>
      </c>
      <c r="J12" s="218"/>
      <c r="K12" s="163"/>
      <c r="L12" s="163"/>
      <c r="O12" s="165"/>
    </row>
    <row r="13" spans="1:22" ht="18.75" customHeight="1" thickBot="1">
      <c r="A13" s="80" t="s">
        <v>2</v>
      </c>
      <c r="B13" s="166"/>
      <c r="C13" s="22"/>
      <c r="D13" s="22"/>
      <c r="E13" s="223">
        <f>SUM(E9:E12)</f>
        <v>14330953521</v>
      </c>
      <c r="F13" s="171"/>
      <c r="G13" s="219">
        <f>SUM(G9:G12)</f>
        <v>100</v>
      </c>
      <c r="H13" s="169"/>
      <c r="I13" s="219">
        <f>SUM(I9:I12)</f>
        <v>8.9773015720273204</v>
      </c>
      <c r="J13" s="225"/>
      <c r="K13" s="163"/>
      <c r="L13" s="163"/>
    </row>
    <row r="14" spans="1:22" ht="18" customHeight="1" thickTop="1">
      <c r="K14" s="163"/>
      <c r="L14" s="163"/>
    </row>
    <row r="15" spans="1:22" ht="18" customHeight="1">
      <c r="E15" s="18"/>
      <c r="F15" s="18"/>
      <c r="G15" s="18"/>
      <c r="K15" s="163"/>
      <c r="L15" s="163"/>
    </row>
    <row r="16" spans="1:22" ht="18" customHeight="1">
      <c r="E16" s="18"/>
      <c r="F16" s="18"/>
      <c r="G16" s="18"/>
      <c r="K16" s="163"/>
      <c r="L16" s="163"/>
    </row>
    <row r="17" spans="1:12" ht="18" customHeight="1">
      <c r="E17" s="18"/>
      <c r="F17" s="18"/>
      <c r="G17" s="18"/>
      <c r="K17" s="163"/>
      <c r="L17" s="163"/>
    </row>
    <row r="18" spans="1:12" ht="17.45" customHeight="1">
      <c r="E18" s="18"/>
      <c r="F18" s="18"/>
      <c r="G18" s="18"/>
      <c r="K18" s="163"/>
      <c r="L18" s="163"/>
    </row>
    <row r="19" spans="1:12" ht="17.45" customHeight="1">
      <c r="E19" s="18"/>
      <c r="F19" s="18"/>
      <c r="G19" s="18"/>
      <c r="K19" s="163"/>
      <c r="L19" s="163"/>
    </row>
    <row r="20" spans="1:12" ht="17.45" customHeight="1">
      <c r="E20" s="18"/>
      <c r="F20" s="18"/>
      <c r="G20" s="18"/>
    </row>
    <row r="23" spans="1:12">
      <c r="A23" s="167" t="s">
        <v>54</v>
      </c>
    </row>
    <row r="28" spans="1:12" ht="18.75" customHeight="1"/>
    <row r="37" ht="18.75" customHeight="1"/>
    <row r="38" ht="17.45" customHeight="1"/>
    <row r="39" ht="17.45" customHeight="1"/>
  </sheetData>
  <mergeCells count="5">
    <mergeCell ref="E7:I7"/>
    <mergeCell ref="A1:I1"/>
    <mergeCell ref="A2:I2"/>
    <mergeCell ref="A3:I3"/>
    <mergeCell ref="A5:V5"/>
  </mergeCells>
  <pageMargins left="0.25" right="0.25" top="0.75" bottom="0.75" header="0.3" footer="0.3"/>
  <pageSetup paperSize="9" scale="93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rgb="FF00B0F0"/>
    <pageSetUpPr fitToPage="1"/>
  </sheetPr>
  <dimension ref="A1:X48"/>
  <sheetViews>
    <sheetView rightToLeft="1" view="pageBreakPreview" zoomScale="55" zoomScaleNormal="100" zoomScaleSheetLayoutView="55" workbookViewId="0">
      <selection activeCell="G50" sqref="G50"/>
    </sheetView>
  </sheetViews>
  <sheetFormatPr defaultColWidth="9.140625" defaultRowHeight="15"/>
  <cols>
    <col min="1" max="1" width="60.7109375" style="99" customWidth="1"/>
    <col min="2" max="2" width="1.28515625" style="99" customWidth="1"/>
    <col min="3" max="3" width="26.5703125" style="40" customWidth="1"/>
    <col min="4" max="4" width="1" style="99" customWidth="1"/>
    <col min="5" max="5" width="28.42578125" style="41" customWidth="1"/>
    <col min="6" max="6" width="1.42578125" style="41" customWidth="1"/>
    <col min="7" max="7" width="26.5703125" style="41" customWidth="1"/>
    <col min="8" max="8" width="1" style="113" customWidth="1"/>
    <col min="9" max="9" width="28.42578125" style="113" customWidth="1"/>
    <col min="10" max="10" width="2" style="113" customWidth="1"/>
    <col min="11" max="11" width="28.5703125" style="114" customWidth="1"/>
    <col min="12" max="12" width="1.5703125" style="99" customWidth="1"/>
    <col min="13" max="13" width="28.42578125" style="40" bestFit="1" customWidth="1"/>
    <col min="14" max="14" width="0.85546875" style="40" customWidth="1"/>
    <col min="15" max="15" width="28.42578125" style="41" bestFit="1" customWidth="1"/>
    <col min="16" max="16" width="0.85546875" style="41" customWidth="1"/>
    <col min="17" max="17" width="28.42578125" style="41" bestFit="1" customWidth="1"/>
    <col min="18" max="18" width="0.85546875" style="41" customWidth="1"/>
    <col min="19" max="19" width="27.140625" style="41" customWidth="1"/>
    <col min="20" max="20" width="1.42578125" style="41" customWidth="1"/>
    <col min="21" max="21" width="29.85546875" style="114" customWidth="1"/>
    <col min="22" max="22" width="9.140625" style="99"/>
    <col min="23" max="23" width="22.42578125" style="99" bestFit="1" customWidth="1"/>
    <col min="24" max="24" width="9.140625" style="99"/>
    <col min="25" max="25" width="18.85546875" style="99" bestFit="1" customWidth="1"/>
    <col min="26" max="16384" width="9.140625" style="99"/>
  </cols>
  <sheetData>
    <row r="1" spans="1:24" ht="27.75">
      <c r="A1" s="298" t="s">
        <v>85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  <c r="Q1" s="298"/>
      <c r="R1" s="298"/>
      <c r="S1" s="298"/>
      <c r="T1" s="298"/>
      <c r="U1" s="298"/>
    </row>
    <row r="2" spans="1:24" ht="27.75">
      <c r="A2" s="298" t="s">
        <v>51</v>
      </c>
      <c r="B2" s="298"/>
      <c r="C2" s="298"/>
      <c r="D2" s="298"/>
      <c r="E2" s="298"/>
      <c r="F2" s="298"/>
      <c r="G2" s="298"/>
      <c r="H2" s="298"/>
      <c r="I2" s="298"/>
      <c r="J2" s="298"/>
      <c r="K2" s="298"/>
      <c r="L2" s="298"/>
      <c r="M2" s="298"/>
      <c r="N2" s="298"/>
      <c r="O2" s="298"/>
      <c r="P2" s="298"/>
      <c r="Q2" s="298"/>
      <c r="R2" s="298"/>
      <c r="S2" s="298"/>
      <c r="T2" s="298"/>
      <c r="U2" s="298"/>
    </row>
    <row r="3" spans="1:24" ht="27.75">
      <c r="A3" s="298" t="str">
        <f>' سهام'!A3:W3</f>
        <v>برای ماه منتهی به 1403/02/31</v>
      </c>
      <c r="B3" s="298"/>
      <c r="C3" s="298"/>
      <c r="D3" s="298"/>
      <c r="E3" s="298"/>
      <c r="F3" s="298"/>
      <c r="G3" s="298"/>
      <c r="H3" s="298"/>
      <c r="I3" s="298"/>
      <c r="J3" s="298"/>
      <c r="K3" s="298"/>
      <c r="L3" s="298"/>
      <c r="M3" s="298"/>
      <c r="N3" s="298"/>
      <c r="O3" s="298"/>
      <c r="P3" s="298"/>
      <c r="Q3" s="298"/>
      <c r="R3" s="298"/>
      <c r="S3" s="298"/>
      <c r="T3" s="298"/>
      <c r="U3" s="298"/>
    </row>
    <row r="5" spans="1:24" s="100" customFormat="1" ht="24.75">
      <c r="A5" s="274" t="s">
        <v>25</v>
      </c>
      <c r="B5" s="274"/>
      <c r="C5" s="274"/>
      <c r="D5" s="274"/>
      <c r="E5" s="274"/>
      <c r="F5" s="274"/>
      <c r="G5" s="274"/>
      <c r="H5" s="274"/>
      <c r="I5" s="274"/>
      <c r="J5" s="274"/>
      <c r="K5" s="274"/>
      <c r="L5" s="274"/>
      <c r="M5" s="274"/>
      <c r="N5" s="274"/>
      <c r="O5" s="274"/>
      <c r="P5" s="274"/>
      <c r="Q5" s="274"/>
      <c r="R5" s="274"/>
      <c r="S5" s="274"/>
      <c r="T5" s="274"/>
      <c r="U5" s="274"/>
    </row>
    <row r="6" spans="1:24" s="100" customFormat="1" ht="24">
      <c r="C6" s="33"/>
      <c r="E6" s="36"/>
      <c r="F6" s="36"/>
      <c r="G6" s="36"/>
      <c r="H6" s="101"/>
      <c r="I6" s="101"/>
      <c r="J6" s="101"/>
      <c r="K6" s="102"/>
      <c r="M6" s="33"/>
      <c r="N6" s="33"/>
      <c r="O6" s="36"/>
      <c r="P6" s="36"/>
      <c r="Q6" s="36"/>
      <c r="R6" s="36"/>
      <c r="S6" s="36"/>
      <c r="T6" s="36"/>
      <c r="U6" s="102"/>
    </row>
    <row r="7" spans="1:24" s="100" customFormat="1" ht="27" customHeight="1" thickBot="1">
      <c r="A7" s="103"/>
      <c r="B7" s="104"/>
      <c r="C7" s="298" t="str" cm="1">
        <f t="array" ref="C7:G7">'سود اوراق بهادار'!B6:F6</f>
        <v>طی اردیبهشت ماه</v>
      </c>
      <c r="D7" s="298">
        <v>0</v>
      </c>
      <c r="E7" s="298">
        <v>0</v>
      </c>
      <c r="F7" s="298">
        <v>0</v>
      </c>
      <c r="G7" s="298">
        <v>0</v>
      </c>
      <c r="H7" s="298"/>
      <c r="I7" s="298"/>
      <c r="J7" s="298"/>
      <c r="K7" s="298"/>
      <c r="L7" s="104"/>
      <c r="M7" s="298" t="str" cm="1">
        <f t="array" ref="M7:Q7">'سود اوراق بهادار'!H6:L6</f>
        <v>از ابتدای سال مالی تا پایان اردیبهشت ماه</v>
      </c>
      <c r="N7" s="298">
        <v>0</v>
      </c>
      <c r="O7" s="298">
        <v>0</v>
      </c>
      <c r="P7" s="298">
        <v>0</v>
      </c>
      <c r="Q7" s="298">
        <v>0</v>
      </c>
      <c r="R7" s="298"/>
      <c r="S7" s="298"/>
      <c r="T7" s="298"/>
      <c r="U7" s="298"/>
    </row>
    <row r="8" spans="1:24" s="85" customFormat="1" ht="24.75" customHeight="1">
      <c r="A8" s="299" t="s">
        <v>21</v>
      </c>
      <c r="B8" s="299"/>
      <c r="C8" s="305" t="s">
        <v>9</v>
      </c>
      <c r="D8" s="301"/>
      <c r="E8" s="307" t="s">
        <v>10</v>
      </c>
      <c r="F8" s="302"/>
      <c r="G8" s="307" t="s">
        <v>11</v>
      </c>
      <c r="H8" s="314"/>
      <c r="I8" s="309" t="s">
        <v>2</v>
      </c>
      <c r="J8" s="309"/>
      <c r="K8" s="309"/>
      <c r="L8" s="299"/>
      <c r="M8" s="305" t="s">
        <v>9</v>
      </c>
      <c r="N8" s="311"/>
      <c r="O8" s="307" t="s">
        <v>10</v>
      </c>
      <c r="P8" s="302"/>
      <c r="Q8" s="307" t="s">
        <v>11</v>
      </c>
      <c r="R8" s="302"/>
      <c r="S8" s="309" t="s">
        <v>2</v>
      </c>
      <c r="T8" s="309"/>
      <c r="U8" s="309"/>
    </row>
    <row r="9" spans="1:24" s="85" customFormat="1" ht="6" customHeight="1" thickBot="1">
      <c r="A9" s="299"/>
      <c r="B9" s="299"/>
      <c r="C9" s="306"/>
      <c r="D9" s="299"/>
      <c r="E9" s="308"/>
      <c r="F9" s="303"/>
      <c r="G9" s="308"/>
      <c r="H9" s="315"/>
      <c r="I9" s="310"/>
      <c r="J9" s="310"/>
      <c r="K9" s="310"/>
      <c r="L9" s="299"/>
      <c r="M9" s="306"/>
      <c r="N9" s="312"/>
      <c r="O9" s="308"/>
      <c r="P9" s="303"/>
      <c r="Q9" s="308"/>
      <c r="R9" s="303"/>
      <c r="S9" s="310"/>
      <c r="T9" s="310"/>
      <c r="U9" s="310"/>
    </row>
    <row r="10" spans="1:24" s="85" customFormat="1" ht="42.75" customHeight="1" thickBot="1">
      <c r="A10" s="300"/>
      <c r="B10" s="299"/>
      <c r="C10" s="37" t="s">
        <v>55</v>
      </c>
      <c r="D10" s="299"/>
      <c r="E10" s="38" t="s">
        <v>56</v>
      </c>
      <c r="F10" s="304"/>
      <c r="G10" s="38" t="s">
        <v>57</v>
      </c>
      <c r="H10" s="315"/>
      <c r="I10" s="105" t="s">
        <v>6</v>
      </c>
      <c r="J10" s="105"/>
      <c r="K10" s="106" t="s">
        <v>16</v>
      </c>
      <c r="L10" s="299"/>
      <c r="M10" s="37" t="s">
        <v>55</v>
      </c>
      <c r="N10" s="313"/>
      <c r="O10" s="38" t="s">
        <v>56</v>
      </c>
      <c r="P10" s="304"/>
      <c r="Q10" s="38" t="s">
        <v>57</v>
      </c>
      <c r="R10" s="304"/>
      <c r="S10" s="39" t="s">
        <v>6</v>
      </c>
      <c r="T10" s="39"/>
      <c r="U10" s="106" t="s">
        <v>16</v>
      </c>
    </row>
    <row r="11" spans="1:24" s="59" customFormat="1" ht="30.75">
      <c r="A11" s="107" t="s">
        <v>142</v>
      </c>
      <c r="C11" s="4">
        <f>IFERROR(VLOOKUP(A11,'درآمد سود سهام'!$A$9:$S$28,13,0),0)</f>
        <v>0</v>
      </c>
      <c r="D11" s="4"/>
      <c r="E11" s="4">
        <f>IFERROR(VLOOKUP(A11,'درآمد ناشی از تغییر قیمت  '!$A$8:$Q$33,9,0),0)</f>
        <v>-96358277</v>
      </c>
      <c r="F11" s="4"/>
      <c r="G11" s="4">
        <f>IFERROR(VLOOKUP(A11,'درآمد ناشی ازفروش'!$A$8:$I$37,9,0),0)</f>
        <v>0</v>
      </c>
      <c r="H11" s="4"/>
      <c r="I11" s="4">
        <f>G11+E11+C11</f>
        <v>-96358277</v>
      </c>
      <c r="K11" s="56">
        <f>I11/-3284282329</f>
        <v>2.9339218540733437E-2</v>
      </c>
      <c r="M11" s="4">
        <f>IFERROR(VLOOKUP(A11,'درآمد سود سهام'!$A$9:$S$28,19,0),0)</f>
        <v>0</v>
      </c>
      <c r="N11" s="4"/>
      <c r="O11" s="4">
        <f>IFERROR(VLOOKUP(A11,'درآمد ناشی از تغییر قیمت  '!$A$8:$Q$33,17,0),0)</f>
        <v>-155750942</v>
      </c>
      <c r="P11" s="4"/>
      <c r="Q11" s="4">
        <f>IFERROR(VLOOKUP(A11,'درآمد ناشی ازفروش'!$A$8:$Q$38,17,0),0)</f>
        <v>-7143129</v>
      </c>
      <c r="R11" s="4"/>
      <c r="S11" s="4">
        <f>Q11+O11+M11</f>
        <v>-162894071</v>
      </c>
      <c r="T11" s="64"/>
      <c r="U11" s="56">
        <f>S11/درآمدها!$K$6</f>
        <v>-1.0634919043236244E-2</v>
      </c>
      <c r="V11" s="65"/>
      <c r="W11" s="65"/>
      <c r="X11" s="65"/>
    </row>
    <row r="12" spans="1:24" s="59" customFormat="1" ht="30.75">
      <c r="A12" s="107" t="s">
        <v>87</v>
      </c>
      <c r="C12" s="4">
        <f>IFERROR(VLOOKUP(A12,'درآمد سود سهام'!$A$9:$S$28,13,0),0)</f>
        <v>0</v>
      </c>
      <c r="D12" s="4"/>
      <c r="E12" s="4">
        <f>IFERROR(VLOOKUP(A12,'درآمد ناشی از تغییر قیمت  '!$A$8:$Q$33,9,0),0)</f>
        <v>0</v>
      </c>
      <c r="F12" s="4"/>
      <c r="G12" s="4">
        <f>IFERROR(VLOOKUP(A12,'درآمد ناشی ازفروش'!$A$8:$I$37,9,0),0)</f>
        <v>0</v>
      </c>
      <c r="H12" s="4"/>
      <c r="I12" s="4">
        <f t="shared" ref="I12:I39" si="0">G12+E12+C12</f>
        <v>0</v>
      </c>
      <c r="K12" s="56">
        <f t="shared" ref="K12:K39" si="1">I12/-3284282329</f>
        <v>0</v>
      </c>
      <c r="M12" s="4">
        <f>IFERROR(VLOOKUP(A12,'درآمد سود سهام'!$A$9:$S$28,19,0),0)</f>
        <v>0</v>
      </c>
      <c r="N12" s="4"/>
      <c r="O12" s="4">
        <f>IFERROR(VLOOKUP(A12,'درآمد ناشی از تغییر قیمت  '!$A$8:$Q$33,17,0),0)</f>
        <v>0</v>
      </c>
      <c r="P12" s="4"/>
      <c r="Q12" s="4">
        <f>IFERROR(VLOOKUP(A12,'درآمد ناشی ازفروش'!$A$8:$Q$38,17,0),0)</f>
        <v>1167277212</v>
      </c>
      <c r="R12" s="4"/>
      <c r="S12" s="4">
        <f t="shared" ref="S12:S37" si="2">Q12+O12+M12</f>
        <v>1167277212</v>
      </c>
      <c r="T12" s="64"/>
      <c r="U12" s="56">
        <f>S12/درآمدها!$K$6</f>
        <v>7.6208413077444123E-2</v>
      </c>
      <c r="V12" s="65"/>
      <c r="W12" s="65"/>
      <c r="X12" s="65"/>
    </row>
    <row r="13" spans="1:24" s="59" customFormat="1" ht="30.75">
      <c r="A13" s="107" t="s">
        <v>125</v>
      </c>
      <c r="C13" s="4">
        <f>IFERROR(VLOOKUP(A13,'درآمد سود سهام'!$A$9:$S$28,13,0),0)</f>
        <v>0</v>
      </c>
      <c r="D13" s="4"/>
      <c r="E13" s="4">
        <f>IFERROR(VLOOKUP(A13,'درآمد ناشی از تغییر قیمت  '!$A$8:$Q$33,9,0),0)</f>
        <v>63209933</v>
      </c>
      <c r="F13" s="4"/>
      <c r="G13" s="4">
        <f>IFERROR(VLOOKUP(A13,'درآمد ناشی ازفروش'!$A$8:$I$37,9,0),0)</f>
        <v>0</v>
      </c>
      <c r="H13" s="4"/>
      <c r="I13" s="4">
        <f t="shared" si="0"/>
        <v>63209933</v>
      </c>
      <c r="K13" s="56">
        <f t="shared" si="1"/>
        <v>-1.9246193435278201E-2</v>
      </c>
      <c r="M13" s="4">
        <f>IFERROR(VLOOKUP(A13,'درآمد سود سهام'!$A$9:$S$28,19,0),0)</f>
        <v>0</v>
      </c>
      <c r="N13" s="4"/>
      <c r="O13" s="4">
        <f>IFERROR(VLOOKUP(A13,'درآمد ناشی از تغییر قیمت  '!$A$8:$Q$33,17,0),0)</f>
        <v>353152486</v>
      </c>
      <c r="P13" s="4"/>
      <c r="Q13" s="4">
        <f>IFERROR(VLOOKUP(A13,'درآمد ناشی ازفروش'!$A$8:$Q$38,17,0),0)</f>
        <v>30407738</v>
      </c>
      <c r="R13" s="4"/>
      <c r="S13" s="4">
        <f t="shared" si="2"/>
        <v>383560224</v>
      </c>
      <c r="T13" s="64"/>
      <c r="U13" s="56">
        <f>S13/درآمدها!$K$6</f>
        <v>2.5041623095327759E-2</v>
      </c>
      <c r="V13" s="65"/>
      <c r="W13" s="65"/>
      <c r="X13" s="65"/>
    </row>
    <row r="14" spans="1:24" s="59" customFormat="1" ht="36.75" customHeight="1">
      <c r="A14" s="107" t="s">
        <v>97</v>
      </c>
      <c r="C14" s="4">
        <f>IFERROR(VLOOKUP(A14,'درآمد سود سهام'!$A$9:$S$28,13,0),0)</f>
        <v>211361170</v>
      </c>
      <c r="D14" s="4"/>
      <c r="E14" s="4">
        <f>IFERROR(VLOOKUP(A14,'درآمد ناشی از تغییر قیمت  '!$A$8:$Q$33,9,0),0)</f>
        <v>-384403191</v>
      </c>
      <c r="F14" s="4"/>
      <c r="G14" s="4">
        <f>IFERROR(VLOOKUP(A14,'درآمد ناشی ازفروش'!$A$8:$I$37,9,0),0)</f>
        <v>0</v>
      </c>
      <c r="H14" s="4"/>
      <c r="I14" s="4">
        <f t="shared" si="0"/>
        <v>-173042021</v>
      </c>
      <c r="K14" s="56">
        <f t="shared" si="1"/>
        <v>5.2687924991116075E-2</v>
      </c>
      <c r="M14" s="4">
        <f>IFERROR(VLOOKUP(A14,'درآمد سود سهام'!$A$9:$S$28,19,0),0)</f>
        <v>211361170</v>
      </c>
      <c r="N14" s="4"/>
      <c r="O14" s="4">
        <f>IFERROR(VLOOKUP(A14,'درآمد ناشی از تغییر قیمت  '!$A$8:$Q$33,17,0),0)</f>
        <v>-60837104</v>
      </c>
      <c r="P14" s="4"/>
      <c r="Q14" s="4">
        <f>IFERROR(VLOOKUP(A14,'درآمد ناشی ازفروش'!$A$8:$Q$38,17,0),0)</f>
        <v>104259445</v>
      </c>
      <c r="R14" s="4"/>
      <c r="S14" s="4">
        <f t="shared" si="2"/>
        <v>254783511</v>
      </c>
      <c r="T14" s="64"/>
      <c r="U14" s="56">
        <f>S14/درآمدها!$K$6</f>
        <v>1.6634135278235457E-2</v>
      </c>
      <c r="V14" s="65"/>
      <c r="W14" s="65"/>
      <c r="X14" s="65"/>
    </row>
    <row r="15" spans="1:24" s="59" customFormat="1" ht="30.75">
      <c r="A15" s="107" t="s">
        <v>103</v>
      </c>
      <c r="C15" s="4">
        <f>IFERROR(VLOOKUP(A15,'درآمد سود سهام'!$A$9:$S$28,13,0),0)</f>
        <v>0</v>
      </c>
      <c r="D15" s="4"/>
      <c r="E15" s="4">
        <f>IFERROR(VLOOKUP(A15,'درآمد ناشی از تغییر قیمت  '!$A$8:$Q$33,9,0),0)</f>
        <v>-39326784</v>
      </c>
      <c r="F15" s="4"/>
      <c r="G15" s="4">
        <f>IFERROR(VLOOKUP(A15,'درآمد ناشی ازفروش'!$A$8:$I$37,9,0),0)</f>
        <v>0</v>
      </c>
      <c r="H15" s="4"/>
      <c r="I15" s="4">
        <f t="shared" si="0"/>
        <v>-39326784</v>
      </c>
      <c r="K15" s="56">
        <f t="shared" si="1"/>
        <v>1.1974239745696356E-2</v>
      </c>
      <c r="M15" s="4">
        <f>IFERROR(VLOOKUP(A15,'درآمد سود سهام'!$A$9:$S$28,19,0),0)</f>
        <v>161035821</v>
      </c>
      <c r="N15" s="4"/>
      <c r="O15" s="4">
        <f>IFERROR(VLOOKUP(A15,'درآمد ناشی از تغییر قیمت  '!$A$8:$Q$33,17,0),0)</f>
        <v>-65453883</v>
      </c>
      <c r="P15" s="4"/>
      <c r="Q15" s="4">
        <f>IFERROR(VLOOKUP(A15,'درآمد ناشی ازفروش'!$A$8:$Q$38,17,0),0)</f>
        <v>64409397</v>
      </c>
      <c r="R15" s="4"/>
      <c r="S15" s="4">
        <f t="shared" si="2"/>
        <v>159991335</v>
      </c>
      <c r="T15" s="64"/>
      <c r="U15" s="56">
        <f>S15/درآمدها!$K$6</f>
        <v>1.0445407158768164E-2</v>
      </c>
      <c r="V15" s="65"/>
      <c r="W15" s="65"/>
      <c r="X15" s="65"/>
    </row>
    <row r="16" spans="1:24" s="59" customFormat="1" ht="30.75">
      <c r="A16" s="107" t="s">
        <v>105</v>
      </c>
      <c r="C16" s="4">
        <f>IFERROR(VLOOKUP(A16,'درآمد سود سهام'!$A$9:$S$28,13,0),0)</f>
        <v>0</v>
      </c>
      <c r="D16" s="4"/>
      <c r="E16" s="4">
        <f>IFERROR(VLOOKUP(A16,'درآمد ناشی از تغییر قیمت  '!$A$8:$Q$33,9,0),0)</f>
        <v>0</v>
      </c>
      <c r="F16" s="4"/>
      <c r="G16" s="4">
        <f>IFERROR(VLOOKUP(A16,'درآمد ناشی ازفروش'!$A$8:$I$37,9,0),0)</f>
        <v>0</v>
      </c>
      <c r="H16" s="4"/>
      <c r="I16" s="4">
        <f t="shared" si="0"/>
        <v>0</v>
      </c>
      <c r="K16" s="56">
        <f t="shared" si="1"/>
        <v>0</v>
      </c>
      <c r="M16" s="4">
        <f>IFERROR(VLOOKUP(A16,'درآمد سود سهام'!$A$9:$S$28,19,0),0)</f>
        <v>0</v>
      </c>
      <c r="N16" s="4"/>
      <c r="O16" s="4">
        <f>IFERROR(VLOOKUP(A16,'درآمد ناشی از تغییر قیمت  '!$A$8:$Q$33,17,0),0)</f>
        <v>0</v>
      </c>
      <c r="P16" s="4"/>
      <c r="Q16" s="4">
        <f>IFERROR(VLOOKUP(A16,'درآمد ناشی ازفروش'!$A$8:$Q$38,17,0),0)</f>
        <v>607602345</v>
      </c>
      <c r="R16" s="4"/>
      <c r="S16" s="4">
        <f t="shared" si="2"/>
        <v>607602345</v>
      </c>
      <c r="T16" s="64"/>
      <c r="U16" s="56">
        <f>S16/درآمدها!$K$6</f>
        <v>3.9668735085855264E-2</v>
      </c>
      <c r="V16" s="65"/>
      <c r="W16" s="65"/>
      <c r="X16" s="65"/>
    </row>
    <row r="17" spans="1:24" s="59" customFormat="1" ht="34.5" customHeight="1">
      <c r="A17" s="107" t="s">
        <v>90</v>
      </c>
      <c r="C17" s="4">
        <f>IFERROR(VLOOKUP(A17,'درآمد سود سهام'!$A$9:$S$28,13,0),0)</f>
        <v>0</v>
      </c>
      <c r="D17" s="4"/>
      <c r="E17" s="4">
        <f>IFERROR(VLOOKUP(A17,'درآمد ناشی از تغییر قیمت  '!$A$8:$Q$33,9,0),0)</f>
        <v>-335174129</v>
      </c>
      <c r="F17" s="4"/>
      <c r="G17" s="4">
        <f>IFERROR(VLOOKUP(A17,'درآمد ناشی ازفروش'!$A$8:$I$37,9,0),0)</f>
        <v>237016296</v>
      </c>
      <c r="H17" s="4"/>
      <c r="I17" s="4">
        <f t="shared" si="0"/>
        <v>-98157833</v>
      </c>
      <c r="K17" s="56">
        <f t="shared" si="1"/>
        <v>2.9887148292116271E-2</v>
      </c>
      <c r="M17" s="4">
        <f>IFERROR(VLOOKUP(A17,'درآمد سود سهام'!$A$9:$S$28,19,0),0)</f>
        <v>0</v>
      </c>
      <c r="N17" s="4"/>
      <c r="O17" s="4">
        <f>IFERROR(VLOOKUP(A17,'درآمد ناشی از تغییر قیمت  '!$A$8:$Q$33,17,0),0)</f>
        <v>820333441</v>
      </c>
      <c r="P17" s="4"/>
      <c r="Q17" s="4">
        <f>IFERROR(VLOOKUP(A17,'درآمد ناشی ازفروش'!$A$8:$Q$38,17,0),0)</f>
        <v>258792599</v>
      </c>
      <c r="R17" s="4"/>
      <c r="S17" s="4">
        <f t="shared" si="2"/>
        <v>1079126040</v>
      </c>
      <c r="T17" s="64"/>
      <c r="U17" s="56">
        <f>S17/درآمدها!$K$6</f>
        <v>7.0453258380706305E-2</v>
      </c>
      <c r="V17" s="65"/>
      <c r="W17" s="65"/>
      <c r="X17" s="65"/>
    </row>
    <row r="18" spans="1:24" s="59" customFormat="1" ht="30.75">
      <c r="A18" s="107" t="s">
        <v>89</v>
      </c>
      <c r="C18" s="4">
        <f>IFERROR(VLOOKUP(A18,'درآمد سود سهام'!$A$9:$S$28,13,0),0)</f>
        <v>0</v>
      </c>
      <c r="D18" s="4"/>
      <c r="E18" s="4">
        <f>IFERROR(VLOOKUP(A18,'درآمد ناشی از تغییر قیمت  '!$A$8:$Q$33,9,0),0)</f>
        <v>2751962</v>
      </c>
      <c r="F18" s="4"/>
      <c r="G18" s="4">
        <f>IFERROR(VLOOKUP(A18,'درآمد ناشی ازفروش'!$A$8:$I$37,9,0),0)</f>
        <v>200178417</v>
      </c>
      <c r="H18" s="4"/>
      <c r="I18" s="4">
        <f t="shared" si="0"/>
        <v>202930379</v>
      </c>
      <c r="K18" s="56">
        <f t="shared" si="1"/>
        <v>-6.1788347855523236E-2</v>
      </c>
      <c r="M18" s="4">
        <f>IFERROR(VLOOKUP(A18,'درآمد سود سهام'!$A$9:$S$28,19,0),0)</f>
        <v>0</v>
      </c>
      <c r="N18" s="4"/>
      <c r="O18" s="4">
        <f>IFERROR(VLOOKUP(A18,'درآمد ناشی از تغییر قیمت  '!$A$8:$Q$33,17,0),0)</f>
        <v>297674041</v>
      </c>
      <c r="P18" s="4"/>
      <c r="Q18" s="4">
        <f>IFERROR(VLOOKUP(A18,'درآمد ناشی ازفروش'!$A$8:$Q$38,17,0),0)</f>
        <v>364952989</v>
      </c>
      <c r="R18" s="4"/>
      <c r="S18" s="4">
        <f t="shared" si="2"/>
        <v>662627030</v>
      </c>
      <c r="T18" s="64"/>
      <c r="U18" s="56">
        <f>S18/درآمدها!$K$6</f>
        <v>4.3261149878868671E-2</v>
      </c>
      <c r="V18" s="65"/>
      <c r="W18" s="65"/>
      <c r="X18" s="65"/>
    </row>
    <row r="19" spans="1:24" s="59" customFormat="1" ht="30.75">
      <c r="A19" s="107" t="s">
        <v>91</v>
      </c>
      <c r="C19" s="4">
        <f>IFERROR(VLOOKUP(A19,'درآمد سود سهام'!$A$9:$S$28,13,0),0)</f>
        <v>0</v>
      </c>
      <c r="D19" s="4"/>
      <c r="E19" s="4">
        <f>IFERROR(VLOOKUP(A19,'درآمد ناشی از تغییر قیمت  '!$A$8:$Q$33,9,0),0)</f>
        <v>-137536651</v>
      </c>
      <c r="F19" s="4"/>
      <c r="G19" s="4">
        <f>IFERROR(VLOOKUP(A19,'درآمد ناشی ازفروش'!$A$8:$I$37,9,0),0)</f>
        <v>1170660</v>
      </c>
      <c r="H19" s="4"/>
      <c r="I19" s="4">
        <f t="shared" si="0"/>
        <v>-136365991</v>
      </c>
      <c r="K19" s="56">
        <f t="shared" si="1"/>
        <v>4.1520788208704577E-2</v>
      </c>
      <c r="M19" s="4">
        <f>IFERROR(VLOOKUP(A19,'درآمد سود سهام'!$A$9:$S$28,19,0),0)</f>
        <v>0</v>
      </c>
      <c r="N19" s="4"/>
      <c r="O19" s="4">
        <f>IFERROR(VLOOKUP(A19,'درآمد ناشی از تغییر قیمت  '!$A$8:$Q$33,17,0),0)</f>
        <v>-317989835</v>
      </c>
      <c r="P19" s="4"/>
      <c r="Q19" s="4">
        <f>IFERROR(VLOOKUP(A19,'درآمد ناشی ازفروش'!$A$8:$Q$38,17,0),0)</f>
        <v>22167956</v>
      </c>
      <c r="R19" s="4"/>
      <c r="S19" s="4">
        <f t="shared" si="2"/>
        <v>-295821879</v>
      </c>
      <c r="T19" s="64"/>
      <c r="U19" s="56">
        <f>S19/درآمدها!$K$6</f>
        <v>-1.9313420771361459E-2</v>
      </c>
      <c r="V19" s="65"/>
      <c r="W19" s="65"/>
      <c r="X19" s="65"/>
    </row>
    <row r="20" spans="1:24" s="59" customFormat="1" ht="30.75">
      <c r="A20" s="107" t="s">
        <v>100</v>
      </c>
      <c r="C20" s="4">
        <f>IFERROR(VLOOKUP(A20,'درآمد سود سهام'!$A$9:$S$28,13,0),0)</f>
        <v>0</v>
      </c>
      <c r="D20" s="4"/>
      <c r="E20" s="4">
        <f>IFERROR(VLOOKUP(A20,'درآمد ناشی از تغییر قیمت  '!$A$8:$Q$33,9,0),0)</f>
        <v>-196261167</v>
      </c>
      <c r="F20" s="4"/>
      <c r="G20" s="4">
        <f>IFERROR(VLOOKUP(A20,'درآمد ناشی ازفروش'!$A$8:$I$37,9,0),0)</f>
        <v>0</v>
      </c>
      <c r="H20" s="4"/>
      <c r="I20" s="4">
        <f t="shared" si="0"/>
        <v>-196261167</v>
      </c>
      <c r="K20" s="56">
        <f t="shared" si="1"/>
        <v>5.9757702700229703E-2</v>
      </c>
      <c r="M20" s="4">
        <f>IFERROR(VLOOKUP(A20,'درآمد سود سهام'!$A$9:$S$28,19,0),0)</f>
        <v>0</v>
      </c>
      <c r="N20" s="4"/>
      <c r="O20" s="4">
        <f>IFERROR(VLOOKUP(A20,'درآمد ناشی از تغییر قیمت  '!$A$8:$Q$33,17,0),0)</f>
        <v>123725719</v>
      </c>
      <c r="P20" s="4"/>
      <c r="Q20" s="4">
        <f>IFERROR(VLOOKUP(A20,'درآمد ناشی ازفروش'!$A$8:$Q$38,17,0),0)</f>
        <v>275624711</v>
      </c>
      <c r="R20" s="4"/>
      <c r="S20" s="4">
        <f t="shared" si="2"/>
        <v>399350430</v>
      </c>
      <c r="T20" s="64"/>
      <c r="U20" s="56">
        <f>S20/درآمدها!$K$6</f>
        <v>2.6072523492470041E-2</v>
      </c>
      <c r="V20" s="65"/>
      <c r="W20" s="65"/>
      <c r="X20" s="65"/>
    </row>
    <row r="21" spans="1:24" s="59" customFormat="1" ht="30.75">
      <c r="A21" s="107" t="s">
        <v>92</v>
      </c>
      <c r="C21" s="4">
        <f>IFERROR(VLOOKUP(A21,'درآمد سود سهام'!$A$9:$S$28,13,0),0)</f>
        <v>0</v>
      </c>
      <c r="D21" s="4"/>
      <c r="E21" s="4">
        <f>IFERROR(VLOOKUP(A21,'درآمد ناشی از تغییر قیمت  '!$A$8:$Q$33,9,0),0)</f>
        <v>44348</v>
      </c>
      <c r="F21" s="4"/>
      <c r="G21" s="4">
        <f>IFERROR(VLOOKUP(A21,'درآمد ناشی ازفروش'!$A$8:$I$37,9,0),0)</f>
        <v>400844700</v>
      </c>
      <c r="H21" s="4"/>
      <c r="I21" s="4">
        <f t="shared" si="0"/>
        <v>400889048</v>
      </c>
      <c r="K21" s="56">
        <f t="shared" si="1"/>
        <v>-0.12206290685187923</v>
      </c>
      <c r="M21" s="4">
        <f>IFERROR(VLOOKUP(A21,'درآمد سود سهام'!$A$9:$S$28,19,0),0)</f>
        <v>0</v>
      </c>
      <c r="N21" s="4"/>
      <c r="O21" s="4">
        <f>IFERROR(VLOOKUP(A21,'درآمد ناشی از تغییر قیمت  '!$A$8:$Q$33,17,0),0)</f>
        <v>1897176569</v>
      </c>
      <c r="P21" s="4"/>
      <c r="Q21" s="4">
        <f>IFERROR(VLOOKUP(A21,'درآمد ناشی ازفروش'!$A$8:$Q$38,17,0),0)</f>
        <v>504503613</v>
      </c>
      <c r="R21" s="4"/>
      <c r="S21" s="4">
        <f t="shared" si="2"/>
        <v>2401680182</v>
      </c>
      <c r="T21" s="64"/>
      <c r="U21" s="56">
        <f>S21/درآمدها!$K$6</f>
        <v>0.15679928769976464</v>
      </c>
      <c r="V21" s="65"/>
      <c r="W21" s="65"/>
      <c r="X21" s="65"/>
    </row>
    <row r="22" spans="1:24" s="59" customFormat="1" ht="30.75">
      <c r="A22" s="107" t="s">
        <v>102</v>
      </c>
      <c r="C22" s="4">
        <f>IFERROR(VLOOKUP(A22,'درآمد سود سهام'!$A$9:$S$28,13,0),0)</f>
        <v>0</v>
      </c>
      <c r="D22" s="4"/>
      <c r="E22" s="4">
        <f>IFERROR(VLOOKUP(A22,'درآمد ناشی از تغییر قیمت  '!$A$8:$Q$33,9,0),0)</f>
        <v>0</v>
      </c>
      <c r="F22" s="4"/>
      <c r="G22" s="4">
        <f>IFERROR(VLOOKUP(A22,'درآمد ناشی ازفروش'!$A$8:$I$37,9,0),0)</f>
        <v>0</v>
      </c>
      <c r="H22" s="4"/>
      <c r="I22" s="4">
        <f t="shared" si="0"/>
        <v>0</v>
      </c>
      <c r="K22" s="56">
        <f t="shared" si="1"/>
        <v>0</v>
      </c>
      <c r="M22" s="4">
        <f>IFERROR(VLOOKUP(A22,'درآمد سود سهام'!$A$9:$S$28,19,0),0)</f>
        <v>0</v>
      </c>
      <c r="N22" s="4"/>
      <c r="O22" s="4">
        <f>IFERROR(VLOOKUP(A22,'درآمد ناشی از تغییر قیمت  '!$A$8:$Q$33,17,0),0)</f>
        <v>0</v>
      </c>
      <c r="P22" s="4"/>
      <c r="Q22" s="4">
        <f>IFERROR(VLOOKUP(A22,'درآمد ناشی ازفروش'!$A$8:$Q$38,17,0),0)</f>
        <v>94815083</v>
      </c>
      <c r="R22" s="4"/>
      <c r="S22" s="4">
        <f t="shared" ref="S22:S31" si="3">Q22+O22+M22</f>
        <v>94815083</v>
      </c>
      <c r="T22" s="64"/>
      <c r="U22" s="56">
        <f>S22/درآمدها!$K$6</f>
        <v>6.1902236563461241E-3</v>
      </c>
      <c r="V22" s="65"/>
      <c r="W22" s="65"/>
      <c r="X22" s="65"/>
    </row>
    <row r="23" spans="1:24" s="59" customFormat="1" ht="30.75">
      <c r="A23" s="107" t="s">
        <v>88</v>
      </c>
      <c r="C23" s="4">
        <f>IFERROR(VLOOKUP(A23,'درآمد سود سهام'!$A$9:$S$28,13,0),0)</f>
        <v>0</v>
      </c>
      <c r="D23" s="4"/>
      <c r="E23" s="4">
        <f>IFERROR(VLOOKUP(A23,'درآمد ناشی از تغییر قیمت  '!$A$8:$Q$33,9,0),0)</f>
        <v>-387558711</v>
      </c>
      <c r="F23" s="4"/>
      <c r="G23" s="4">
        <f>IFERROR(VLOOKUP(A23,'درآمد ناشی ازفروش'!$A$8:$I$37,9,0),0)</f>
        <v>21184530</v>
      </c>
      <c r="H23" s="4"/>
      <c r="I23" s="4">
        <f t="shared" si="0"/>
        <v>-366374181</v>
      </c>
      <c r="K23" s="56">
        <f t="shared" si="1"/>
        <v>0.11155380210919741</v>
      </c>
      <c r="M23" s="4">
        <f>IFERROR(VLOOKUP(A23,'درآمد سود سهام'!$A$9:$S$28,19,0),0)</f>
        <v>0</v>
      </c>
      <c r="N23" s="4"/>
      <c r="O23" s="4">
        <f>IFERROR(VLOOKUP(A23,'درآمد ناشی از تغییر قیمت  '!$A$8:$Q$33,17,0),0)</f>
        <v>-113938143</v>
      </c>
      <c r="P23" s="4"/>
      <c r="Q23" s="4">
        <f>IFERROR(VLOOKUP(A23,'درآمد ناشی ازفروش'!$A$8:$Q$38,17,0),0)</f>
        <v>-180386873</v>
      </c>
      <c r="R23" s="4"/>
      <c r="S23" s="4">
        <f t="shared" si="3"/>
        <v>-294325016</v>
      </c>
      <c r="T23" s="64"/>
      <c r="U23" s="56">
        <f>S23/درآمدها!$K$6</f>
        <v>-1.9215694582028171E-2</v>
      </c>
      <c r="V23" s="65"/>
      <c r="W23" s="65"/>
      <c r="X23" s="65"/>
    </row>
    <row r="24" spans="1:24" s="59" customFormat="1" ht="30.75">
      <c r="A24" s="107" t="s">
        <v>86</v>
      </c>
      <c r="C24" s="4">
        <f>IFERROR(VLOOKUP(A24,'درآمد سود سهام'!$A$9:$S$28,13,0),0)</f>
        <v>0</v>
      </c>
      <c r="D24" s="4"/>
      <c r="E24" s="4">
        <f>IFERROR(VLOOKUP(A24,'درآمد ناشی از تغییر قیمت  '!$A$8:$Q$33,9,0),0)</f>
        <v>-82516924</v>
      </c>
      <c r="F24" s="4"/>
      <c r="G24" s="4">
        <f>IFERROR(VLOOKUP(A24,'درآمد ناشی ازفروش'!$A$8:$I$37,9,0),0)</f>
        <v>0</v>
      </c>
      <c r="H24" s="4"/>
      <c r="I24" s="4">
        <f t="shared" si="0"/>
        <v>-82516924</v>
      </c>
      <c r="K24" s="56">
        <f t="shared" si="1"/>
        <v>2.5124796145380351E-2</v>
      </c>
      <c r="M24" s="4">
        <f>IFERROR(VLOOKUP(A24,'درآمد سود سهام'!$A$9:$S$28,19,0),0)</f>
        <v>0</v>
      </c>
      <c r="N24" s="4"/>
      <c r="O24" s="4">
        <f>IFERROR(VLOOKUP(A24,'درآمد ناشی از تغییر قیمت  '!$A$8:$Q$33,17,0),0)</f>
        <v>-134231763</v>
      </c>
      <c r="P24" s="4"/>
      <c r="Q24" s="4">
        <f>IFERROR(VLOOKUP(A24,'درآمد ناشی ازفروش'!$A$8:$Q$38,17,0),0)</f>
        <v>925112400</v>
      </c>
      <c r="R24" s="4"/>
      <c r="S24" s="4">
        <f t="shared" si="3"/>
        <v>790880637</v>
      </c>
      <c r="T24" s="64"/>
      <c r="U24" s="56">
        <f>S24/درآمدها!$K$6</f>
        <v>5.1634485501673731E-2</v>
      </c>
      <c r="V24" s="65"/>
      <c r="W24" s="65"/>
      <c r="X24" s="65"/>
    </row>
    <row r="25" spans="1:24" s="59" customFormat="1" ht="30.75">
      <c r="A25" s="107" t="s">
        <v>123</v>
      </c>
      <c r="C25" s="4">
        <f>IFERROR(VLOOKUP(A25,'درآمد سود سهام'!$A$9:$S$28,13,0),0)</f>
        <v>0</v>
      </c>
      <c r="D25" s="4"/>
      <c r="E25" s="4">
        <f>IFERROR(VLOOKUP(A25,'درآمد ناشی از تغییر قیمت  '!$A$8:$Q$33,9,0),0)</f>
        <v>68128012</v>
      </c>
      <c r="F25" s="4"/>
      <c r="G25" s="4">
        <f>IFERROR(VLOOKUP(A25,'درآمد ناشی ازفروش'!$A$8:$I$37,9,0),0)</f>
        <v>-2104544</v>
      </c>
      <c r="H25" s="4"/>
      <c r="I25" s="4">
        <f t="shared" si="0"/>
        <v>66023468</v>
      </c>
      <c r="K25" s="56">
        <f t="shared" si="1"/>
        <v>-2.0102860042517375E-2</v>
      </c>
      <c r="M25" s="4">
        <f>IFERROR(VLOOKUP(A25,'درآمد سود سهام'!$A$9:$S$28,19,0),0)</f>
        <v>0</v>
      </c>
      <c r="N25" s="4"/>
      <c r="O25" s="4">
        <f>IFERROR(VLOOKUP(A25,'درآمد ناشی از تغییر قیمت  '!$A$8:$Q$33,17,0),0)</f>
        <v>-83072733</v>
      </c>
      <c r="P25" s="4"/>
      <c r="Q25" s="4">
        <f>IFERROR(VLOOKUP(A25,'درآمد ناشی ازفروش'!$A$8:$Q$38,17,0),0)</f>
        <v>-26378723</v>
      </c>
      <c r="R25" s="4"/>
      <c r="S25" s="4">
        <f t="shared" si="3"/>
        <v>-109451456</v>
      </c>
      <c r="T25" s="64"/>
      <c r="U25" s="56">
        <f>S25/درآمدها!$K$6</f>
        <v>-7.1457933771225711E-3</v>
      </c>
      <c r="V25" s="65"/>
      <c r="W25" s="65"/>
      <c r="X25" s="65"/>
    </row>
    <row r="26" spans="1:24" s="59" customFormat="1" ht="30.75">
      <c r="A26" s="107" t="s">
        <v>93</v>
      </c>
      <c r="C26" s="4">
        <f>IFERROR(VLOOKUP(A26,'درآمد سود سهام'!$A$9:$S$28,13,0),0)</f>
        <v>0</v>
      </c>
      <c r="D26" s="4"/>
      <c r="E26" s="4">
        <f>IFERROR(VLOOKUP(A26,'درآمد ناشی از تغییر قیمت  '!$A$8:$Q$33,9,0),0)</f>
        <v>-124371007</v>
      </c>
      <c r="F26" s="4"/>
      <c r="G26" s="4">
        <f>IFERROR(VLOOKUP(A26,'درآمد ناشی ازفروش'!$A$8:$I$37,9,0),0)</f>
        <v>-91922633</v>
      </c>
      <c r="H26" s="4"/>
      <c r="I26" s="4">
        <f t="shared" si="0"/>
        <v>-216293640</v>
      </c>
      <c r="K26" s="56">
        <f t="shared" si="1"/>
        <v>6.5857200548850872E-2</v>
      </c>
      <c r="M26" s="4">
        <f>IFERROR(VLOOKUP(A26,'درآمد سود سهام'!$A$9:$S$28,19,0),0)</f>
        <v>0</v>
      </c>
      <c r="N26" s="4"/>
      <c r="O26" s="4">
        <f>IFERROR(VLOOKUP(A26,'درآمد ناشی از تغییر قیمت  '!$A$8:$Q$33,17,0),0)</f>
        <v>-901739972</v>
      </c>
      <c r="P26" s="4"/>
      <c r="Q26" s="4">
        <f>IFERROR(VLOOKUP(A26,'درآمد ناشی ازفروش'!$A$8:$Q$38,17,0),0)</f>
        <v>-410586641</v>
      </c>
      <c r="R26" s="4"/>
      <c r="S26" s="4">
        <f t="shared" si="3"/>
        <v>-1312326613</v>
      </c>
      <c r="T26" s="64"/>
      <c r="U26" s="56">
        <f>S26/درآمدها!$K$6</f>
        <v>-8.5678301253453368E-2</v>
      </c>
      <c r="V26" s="65"/>
      <c r="W26" s="65"/>
      <c r="X26" s="65"/>
    </row>
    <row r="27" spans="1:24" s="59" customFormat="1" ht="30.75">
      <c r="A27" s="107" t="s">
        <v>101</v>
      </c>
      <c r="C27" s="4">
        <f>IFERROR(VLOOKUP(A27,'درآمد سود سهام'!$A$9:$S$28,13,0),0)</f>
        <v>0</v>
      </c>
      <c r="D27" s="4"/>
      <c r="E27" s="4">
        <f>IFERROR(VLOOKUP(A27,'درآمد ناشی از تغییر قیمت  '!$A$8:$Q$33,9,0),0)</f>
        <v>-173497764</v>
      </c>
      <c r="F27" s="4"/>
      <c r="G27" s="4">
        <f>IFERROR(VLOOKUP(A27,'درآمد ناشی ازفروش'!$A$8:$I$37,9,0),0)</f>
        <v>34791578</v>
      </c>
      <c r="H27" s="4"/>
      <c r="I27" s="4">
        <f t="shared" si="0"/>
        <v>-138706186</v>
      </c>
      <c r="K27" s="56">
        <f t="shared" si="1"/>
        <v>4.2233332005361834E-2</v>
      </c>
      <c r="M27" s="4">
        <f>IFERROR(VLOOKUP(A27,'درآمد سود سهام'!$A$9:$S$28,19,0),0)</f>
        <v>0</v>
      </c>
      <c r="N27" s="4"/>
      <c r="O27" s="4">
        <f>IFERROR(VLOOKUP(A27,'درآمد ناشی از تغییر قیمت  '!$A$8:$Q$33,17,0),0)</f>
        <v>69549723</v>
      </c>
      <c r="P27" s="4"/>
      <c r="Q27" s="4">
        <f>IFERROR(VLOOKUP(A27,'درآمد ناشی ازفروش'!$A$8:$Q$38,17,0),0)</f>
        <v>302212634</v>
      </c>
      <c r="R27" s="4"/>
      <c r="S27" s="4">
        <f t="shared" si="3"/>
        <v>371762357</v>
      </c>
      <c r="T27" s="64"/>
      <c r="U27" s="56">
        <f>S27/درآمدها!$K$6</f>
        <v>2.4271371853783991E-2</v>
      </c>
      <c r="V27" s="65"/>
      <c r="W27" s="65"/>
      <c r="X27" s="65"/>
    </row>
    <row r="28" spans="1:24" s="59" customFormat="1" ht="30.75">
      <c r="A28" s="107" t="s">
        <v>111</v>
      </c>
      <c r="C28" s="4">
        <f>IFERROR(VLOOKUP(A28,'درآمد سود سهام'!$A$9:$S$28,13,0),0)</f>
        <v>0</v>
      </c>
      <c r="D28" s="4"/>
      <c r="E28" s="4">
        <f>IFERROR(VLOOKUP(A28,'درآمد ناشی از تغییر قیمت  '!$A$8:$Q$33,9,0),0)</f>
        <v>-767480282</v>
      </c>
      <c r="F28" s="4"/>
      <c r="G28" s="4">
        <f>IFERROR(VLOOKUP(A28,'درآمد ناشی ازفروش'!$A$8:$I$37,9,0),0)</f>
        <v>-596735216</v>
      </c>
      <c r="H28" s="4"/>
      <c r="I28" s="4">
        <f t="shared" si="0"/>
        <v>-1364215498</v>
      </c>
      <c r="K28" s="56">
        <f t="shared" si="1"/>
        <v>0.41537704781165297</v>
      </c>
      <c r="M28" s="4">
        <f>IFERROR(VLOOKUP(A28,'درآمد سود سهام'!$A$9:$S$28,19,0),0)</f>
        <v>0</v>
      </c>
      <c r="N28" s="4"/>
      <c r="O28" s="4">
        <f>IFERROR(VLOOKUP(A28,'درآمد ناشی از تغییر قیمت  '!$A$8:$Q$33,17,0),0)</f>
        <v>-1256297181</v>
      </c>
      <c r="P28" s="4"/>
      <c r="Q28" s="4">
        <f>IFERROR(VLOOKUP(A28,'درآمد ناشی ازفروش'!$A$8:$Q$38,17,0),0)</f>
        <v>-586958853</v>
      </c>
      <c r="R28" s="4"/>
      <c r="S28" s="4">
        <f t="shared" si="3"/>
        <v>-1843256034</v>
      </c>
      <c r="T28" s="64"/>
      <c r="U28" s="56">
        <f>S28/درآمدها!$K$6</f>
        <v>-0.12034126581284051</v>
      </c>
      <c r="V28" s="65"/>
      <c r="W28" s="65"/>
      <c r="X28" s="65"/>
    </row>
    <row r="29" spans="1:24" s="59" customFormat="1" ht="30.75">
      <c r="A29" s="107" t="s">
        <v>126</v>
      </c>
      <c r="C29" s="4">
        <f>IFERROR(VLOOKUP(A29,'درآمد سود سهام'!$A$9:$S$28,13,0),0)</f>
        <v>0</v>
      </c>
      <c r="D29" s="4"/>
      <c r="E29" s="4">
        <f>IFERROR(VLOOKUP(A29,'درآمد ناشی از تغییر قیمت  '!$A$8:$Q$33,9,0),0)</f>
        <v>-231418340</v>
      </c>
      <c r="F29" s="4"/>
      <c r="G29" s="4">
        <f>IFERROR(VLOOKUP(A29,'درآمد ناشی ازفروش'!$A$8:$I$37,9,0),0)</f>
        <v>-128524146</v>
      </c>
      <c r="H29" s="4"/>
      <c r="I29" s="4">
        <f t="shared" si="0"/>
        <v>-359942486</v>
      </c>
      <c r="K29" s="56">
        <f t="shared" si="1"/>
        <v>0.10959547625419751</v>
      </c>
      <c r="M29" s="4">
        <f>IFERROR(VLOOKUP(A29,'درآمد سود سهام'!$A$9:$S$28,19,0),0)</f>
        <v>0</v>
      </c>
      <c r="N29" s="4"/>
      <c r="O29" s="4">
        <f>IFERROR(VLOOKUP(A29,'درآمد ناشی از تغییر قیمت  '!$A$8:$Q$33,17,0),0)</f>
        <v>-562582124</v>
      </c>
      <c r="P29" s="4"/>
      <c r="Q29" s="4">
        <f>IFERROR(VLOOKUP(A29,'درآمد ناشی ازفروش'!$A$8:$Q$38,17,0),0)</f>
        <v>-189205700</v>
      </c>
      <c r="R29" s="4"/>
      <c r="S29" s="4">
        <f t="shared" si="3"/>
        <v>-751787824</v>
      </c>
      <c r="T29" s="64"/>
      <c r="U29" s="56">
        <f>S29/درآمدها!$K$6</f>
        <v>-4.9082220100759459E-2</v>
      </c>
      <c r="V29" s="65"/>
      <c r="W29" s="65"/>
      <c r="X29" s="65"/>
    </row>
    <row r="30" spans="1:24" s="59" customFormat="1" ht="30.75">
      <c r="A30" s="107" t="s">
        <v>104</v>
      </c>
      <c r="C30" s="4">
        <f>IFERROR(VLOOKUP(A30,'درآمد سود سهام'!$A$9:$S$28,13,0),0)</f>
        <v>0</v>
      </c>
      <c r="D30" s="4"/>
      <c r="E30" s="4">
        <f>IFERROR(VLOOKUP(A30,'درآمد ناشی از تغییر قیمت  '!$A$8:$Q$33,9,0),0)</f>
        <v>0</v>
      </c>
      <c r="F30" s="4"/>
      <c r="G30" s="4">
        <f>IFERROR(VLOOKUP(A30,'درآمد ناشی ازفروش'!$A$8:$I$37,9,0),0)</f>
        <v>0</v>
      </c>
      <c r="H30" s="4"/>
      <c r="I30" s="4">
        <f t="shared" si="0"/>
        <v>0</v>
      </c>
      <c r="K30" s="56">
        <f t="shared" si="1"/>
        <v>0</v>
      </c>
      <c r="M30" s="4">
        <f>IFERROR(VLOOKUP(A30,'درآمد سود سهام'!$A$9:$S$28,19,0),0)</f>
        <v>0</v>
      </c>
      <c r="N30" s="4"/>
      <c r="O30" s="4">
        <f>IFERROR(VLOOKUP(A30,'درآمد ناشی از تغییر قیمت  '!$A$8:$Q$33,17,0),0)</f>
        <v>0</v>
      </c>
      <c r="P30" s="4"/>
      <c r="Q30" s="4">
        <f>IFERROR(VLOOKUP(A30,'درآمد ناشی ازفروش'!$A$8:$Q$38,17,0),0)</f>
        <v>-7895697</v>
      </c>
      <c r="R30" s="4"/>
      <c r="S30" s="4">
        <f t="shared" si="3"/>
        <v>-7895697</v>
      </c>
      <c r="T30" s="64"/>
      <c r="U30" s="56">
        <f>S30/درآمدها!$K$6</f>
        <v>-5.1548897924543423E-4</v>
      </c>
      <c r="V30" s="65"/>
      <c r="W30" s="65"/>
      <c r="X30" s="65"/>
    </row>
    <row r="31" spans="1:24" s="59" customFormat="1" ht="30.75">
      <c r="A31" s="107" t="s">
        <v>110</v>
      </c>
      <c r="C31" s="4">
        <f>IFERROR(VLOOKUP(A31,'درآمد سود سهام'!$A$9:$S$28,13,0),0)</f>
        <v>0</v>
      </c>
      <c r="D31" s="4"/>
      <c r="E31" s="4">
        <f>IFERROR(VLOOKUP(A31,'درآمد ناشی از تغییر قیمت  '!$A$8:$Q$33,9,0),0)</f>
        <v>263759596</v>
      </c>
      <c r="F31" s="4"/>
      <c r="G31" s="4">
        <f>IFERROR(VLOOKUP(A31,'درآمد ناشی ازفروش'!$A$8:$I$37,9,0),0)</f>
        <v>0</v>
      </c>
      <c r="H31" s="4"/>
      <c r="I31" s="4">
        <f t="shared" si="0"/>
        <v>263759596</v>
      </c>
      <c r="K31" s="56">
        <f t="shared" si="1"/>
        <v>-8.0309659638886671E-2</v>
      </c>
      <c r="M31" s="4">
        <f>IFERROR(VLOOKUP(A31,'درآمد سود سهام'!$A$9:$S$28,19,0),0)</f>
        <v>0</v>
      </c>
      <c r="N31" s="4"/>
      <c r="O31" s="4">
        <f>IFERROR(VLOOKUP(A31,'درآمد ناشی از تغییر قیمت  '!$A$8:$Q$33,17,0),0)</f>
        <v>681634810</v>
      </c>
      <c r="P31" s="4"/>
      <c r="Q31" s="4">
        <f>IFERROR(VLOOKUP(A31,'درآمد ناشی ازفروش'!$A$8:$Q$38,17,0),0)</f>
        <v>37661894</v>
      </c>
      <c r="R31" s="4"/>
      <c r="S31" s="4">
        <f t="shared" si="3"/>
        <v>719296704</v>
      </c>
      <c r="T31" s="64"/>
      <c r="U31" s="56">
        <f>S31/درآمدها!$K$6</f>
        <v>4.6960961612326969E-2</v>
      </c>
      <c r="V31" s="65"/>
      <c r="W31" s="65"/>
      <c r="X31" s="65"/>
    </row>
    <row r="32" spans="1:24" s="59" customFormat="1" ht="30.75">
      <c r="A32" s="107" t="s">
        <v>124</v>
      </c>
      <c r="C32" s="4">
        <f>IFERROR(VLOOKUP(A32,'درآمد سود سهام'!$A$9:$S$28,13,0),0)</f>
        <v>520718266</v>
      </c>
      <c r="D32" s="4"/>
      <c r="E32" s="4">
        <f>IFERROR(VLOOKUP(A32,'درآمد ناشی از تغییر قیمت  '!$A$8:$Q$33,9,0),0)</f>
        <v>-1058328308</v>
      </c>
      <c r="F32" s="4"/>
      <c r="G32" s="4">
        <f>IFERROR(VLOOKUP(A32,'درآمد ناشی ازفروش'!$A$8:$I$37,9,0),0)</f>
        <v>-146228626</v>
      </c>
      <c r="H32" s="4"/>
      <c r="I32" s="4">
        <f t="shared" si="0"/>
        <v>-683838668</v>
      </c>
      <c r="K32" s="56">
        <f t="shared" si="1"/>
        <v>0.20821555502757752</v>
      </c>
      <c r="M32" s="4">
        <f>IFERROR(VLOOKUP(A32,'درآمد سود سهام'!$A$9:$S$28,19,0),0)</f>
        <v>520718266</v>
      </c>
      <c r="N32" s="4"/>
      <c r="O32" s="4">
        <f>IFERROR(VLOOKUP(A32,'درآمد ناشی از تغییر قیمت  '!$A$8:$Q$33,17,0),0)</f>
        <v>-449745158</v>
      </c>
      <c r="P32" s="4"/>
      <c r="Q32" s="4">
        <f>IFERROR(VLOOKUP(A32,'درآمد ناشی ازفروش'!$A$8:$Q$38,17,0),0)</f>
        <v>2586820278</v>
      </c>
      <c r="R32" s="4"/>
      <c r="S32" s="4">
        <f t="shared" si="2"/>
        <v>2657793386</v>
      </c>
      <c r="T32" s="64"/>
      <c r="U32" s="56">
        <f>S32/درآمدها!$K$6</f>
        <v>0.17352023508430051</v>
      </c>
      <c r="V32" s="65"/>
      <c r="W32" s="65"/>
      <c r="X32" s="65"/>
    </row>
    <row r="33" spans="1:24" s="59" customFormat="1" ht="30.75">
      <c r="A33" s="107" t="s">
        <v>99</v>
      </c>
      <c r="C33" s="4">
        <f>IFERROR(VLOOKUP(A33,'درآمد سود سهام'!$A$9:$S$28,13,0),0)</f>
        <v>0</v>
      </c>
      <c r="D33" s="4"/>
      <c r="E33" s="4">
        <f>IFERROR(VLOOKUP(A33,'درآمد ناشی از تغییر قیمت  '!$A$8:$Q$33,9,0),0)</f>
        <v>0</v>
      </c>
      <c r="F33" s="4"/>
      <c r="G33" s="4">
        <f>IFERROR(VLOOKUP(A33,'درآمد ناشی ازفروش'!$A$8:$I$37,9,0),0)</f>
        <v>0</v>
      </c>
      <c r="H33" s="4"/>
      <c r="I33" s="4">
        <f t="shared" si="0"/>
        <v>0</v>
      </c>
      <c r="K33" s="56">
        <f t="shared" si="1"/>
        <v>0</v>
      </c>
      <c r="M33" s="4">
        <f>IFERROR(VLOOKUP(A33,'درآمد سود سهام'!$A$9:$S$28,19,0),0)</f>
        <v>0</v>
      </c>
      <c r="N33" s="4"/>
      <c r="O33" s="4">
        <f>IFERROR(VLOOKUP(A33,'درآمد ناشی از تغییر قیمت  '!$A$8:$Q$33,17,0),0)</f>
        <v>0</v>
      </c>
      <c r="P33" s="4"/>
      <c r="Q33" s="4">
        <f>IFERROR(VLOOKUP(A33,'درآمد ناشی ازفروش'!$A$8:$Q$38,17,0),0)</f>
        <v>235633818</v>
      </c>
      <c r="R33" s="4"/>
      <c r="S33" s="4">
        <f t="shared" si="2"/>
        <v>235633818</v>
      </c>
      <c r="T33" s="64"/>
      <c r="U33" s="56">
        <f>S33/درآمدها!$K$6</f>
        <v>1.5383902943150481E-2</v>
      </c>
      <c r="V33" s="65"/>
      <c r="W33" s="65"/>
      <c r="X33" s="65"/>
    </row>
    <row r="34" spans="1:24" s="59" customFormat="1" ht="30.75">
      <c r="A34" s="107" t="s">
        <v>98</v>
      </c>
      <c r="C34" s="4">
        <f>IFERROR(VLOOKUP(A34,'درآمد سود سهام'!$A$9:$S$28,13,0),0)</f>
        <v>0</v>
      </c>
      <c r="D34" s="4"/>
      <c r="E34" s="4">
        <f>IFERROR(VLOOKUP(A34,'درآمد ناشی از تغییر قیمت  '!$A$8:$Q$33,9,0),0)</f>
        <v>0</v>
      </c>
      <c r="F34" s="4"/>
      <c r="G34" s="4">
        <f>IFERROR(VLOOKUP(A34,'درآمد ناشی ازفروش'!$A$8:$I$37,9,0),0)</f>
        <v>0</v>
      </c>
      <c r="H34" s="4"/>
      <c r="I34" s="4">
        <f t="shared" si="0"/>
        <v>0</v>
      </c>
      <c r="K34" s="56">
        <f t="shared" si="1"/>
        <v>0</v>
      </c>
      <c r="M34" s="4">
        <f>IFERROR(VLOOKUP(A34,'درآمد سود سهام'!$A$9:$S$28,19,0),0)</f>
        <v>0</v>
      </c>
      <c r="N34" s="4"/>
      <c r="O34" s="4">
        <f>IFERROR(VLOOKUP(A34,'درآمد ناشی از تغییر قیمت  '!$A$8:$Q$33,17,0),0)</f>
        <v>0</v>
      </c>
      <c r="P34" s="4"/>
      <c r="Q34" s="4">
        <f>IFERROR(VLOOKUP(A34,'درآمد ناشی ازفروش'!$A$8:$Q$38,17,0),0)</f>
        <v>4819534338</v>
      </c>
      <c r="R34" s="4"/>
      <c r="S34" s="4">
        <f t="shared" si="2"/>
        <v>4819534338</v>
      </c>
      <c r="T34" s="64"/>
      <c r="U34" s="56">
        <f>S34/درآمدها!$K$6</f>
        <v>0.31465453098490731</v>
      </c>
      <c r="V34" s="65"/>
      <c r="W34" s="65"/>
      <c r="X34" s="65"/>
    </row>
    <row r="35" spans="1:24" s="59" customFormat="1" ht="30.75">
      <c r="A35" s="107" t="s">
        <v>127</v>
      </c>
      <c r="C35" s="4">
        <f>IFERROR(VLOOKUP(A35,'درآمد سود سهام'!$A$9:$S$28,13,0),0)</f>
        <v>0</v>
      </c>
      <c r="D35" s="4"/>
      <c r="E35" s="4">
        <f>IFERROR(VLOOKUP(A35,'درآمد ناشی از تغییر قیمت  '!$A$8:$Q$33,9,0),0)</f>
        <v>-1678826195</v>
      </c>
      <c r="F35" s="4"/>
      <c r="G35" s="4">
        <f>IFERROR(VLOOKUP(A35,'درآمد ناشی ازفروش'!$A$8:$I$37,9,0),0)</f>
        <v>0</v>
      </c>
      <c r="H35" s="4"/>
      <c r="I35" s="4">
        <f t="shared" si="0"/>
        <v>-1678826195</v>
      </c>
      <c r="K35" s="56">
        <f t="shared" si="1"/>
        <v>0.51116987725935548</v>
      </c>
      <c r="M35" s="4">
        <f>IFERROR(VLOOKUP(A35,'درآمد سود سهام'!$A$9:$S$28,19,0),0)</f>
        <v>0</v>
      </c>
      <c r="N35" s="4"/>
      <c r="O35" s="4">
        <f>IFERROR(VLOOKUP(A35,'درآمد ناشی از تغییر قیمت  '!$A$8:$Q$33,17,0),0)</f>
        <v>-177026499</v>
      </c>
      <c r="P35" s="4"/>
      <c r="Q35" s="4">
        <f>IFERROR(VLOOKUP(A35,'درآمد ناشی ازفروش'!$A$8:$Q$38,17,0),0)</f>
        <v>1633295555</v>
      </c>
      <c r="R35" s="4"/>
      <c r="S35" s="4">
        <f t="shared" si="2"/>
        <v>1456269056</v>
      </c>
      <c r="T35" s="64"/>
      <c r="U35" s="56">
        <f>S35/درآمدها!$K$6</f>
        <v>9.507591909671205E-2</v>
      </c>
      <c r="V35" s="65"/>
      <c r="W35" s="65"/>
      <c r="X35" s="65"/>
    </row>
    <row r="36" spans="1:24" s="59" customFormat="1" ht="30.75">
      <c r="A36" s="107" t="s">
        <v>128</v>
      </c>
      <c r="C36" s="4">
        <f>IFERROR(VLOOKUP(A36,'درآمد سود سهام'!$A$9:$S$28,13,0),0)</f>
        <v>0</v>
      </c>
      <c r="D36" s="4"/>
      <c r="E36" s="4">
        <f>IFERROR(VLOOKUP(A36,'درآمد ناشی از تغییر قیمت  '!$A$8:$Q$33,9,0),0)</f>
        <v>153083700</v>
      </c>
      <c r="F36" s="4"/>
      <c r="G36" s="4">
        <f>IFERROR(VLOOKUP(A36,'درآمد ناشی ازفروش'!$A$8:$I$37,9,0),0)</f>
        <v>0</v>
      </c>
      <c r="H36" s="4"/>
      <c r="I36" s="4">
        <f t="shared" si="0"/>
        <v>153083700</v>
      </c>
      <c r="K36" s="56">
        <f t="shared" si="1"/>
        <v>-4.6611004982209006E-2</v>
      </c>
      <c r="M36" s="4">
        <f>IFERROR(VLOOKUP(A36,'درآمد سود سهام'!$A$9:$S$28,19,0),0)</f>
        <v>0</v>
      </c>
      <c r="N36" s="4"/>
      <c r="O36" s="4">
        <f>IFERROR(VLOOKUP(A36,'درآمد ناشی از تغییر قیمت  '!$A$8:$Q$33,17,0),0)</f>
        <v>384041880</v>
      </c>
      <c r="P36" s="4"/>
      <c r="Q36" s="4">
        <f>IFERROR(VLOOKUP(A36,'درآمد ناشی ازفروش'!$A$8:$Q$38,17,0),0)</f>
        <v>710090322</v>
      </c>
      <c r="R36" s="4"/>
      <c r="S36" s="4">
        <f t="shared" si="2"/>
        <v>1094132202</v>
      </c>
      <c r="T36" s="64"/>
      <c r="U36" s="56">
        <f>S36/درآمدها!$K$6</f>
        <v>7.1432970638125953E-2</v>
      </c>
      <c r="V36" s="65"/>
      <c r="W36" s="65"/>
      <c r="X36" s="65"/>
    </row>
    <row r="37" spans="1:24" s="59" customFormat="1" ht="36.75" customHeight="1">
      <c r="A37" s="107" t="s">
        <v>149</v>
      </c>
      <c r="C37" s="4">
        <f>IFERROR(VLOOKUP(A37,'درآمد سود سهام'!$A$9:$S$28,13,0),0)</f>
        <v>0</v>
      </c>
      <c r="D37" s="4"/>
      <c r="E37" s="4">
        <f>IFERROR(VLOOKUP(A37,'درآمد ناشی از تغییر قیمت  '!$A$8:$Q$33,9,0),0)</f>
        <v>-571808811</v>
      </c>
      <c r="F37" s="4"/>
      <c r="G37" s="4">
        <f>IFERROR(VLOOKUP(A37,'درآمد ناشی ازفروش'!$A$8:$I$37,9,0),0)</f>
        <v>0</v>
      </c>
      <c r="H37" s="4"/>
      <c r="I37" s="4">
        <f t="shared" si="0"/>
        <v>-571808811</v>
      </c>
      <c r="K37" s="56">
        <f t="shared" si="1"/>
        <v>0.17410464561799857</v>
      </c>
      <c r="M37" s="4">
        <f>IFERROR(VLOOKUP(A37,'درآمد سود سهام'!$A$9:$S$28,19,0),0)</f>
        <v>0</v>
      </c>
      <c r="N37" s="4"/>
      <c r="O37" s="4">
        <f>IFERROR(VLOOKUP(A37,'درآمد ناشی از تغییر قیمت  '!$A$8:$Q$33,17,0),0)</f>
        <v>-571808811</v>
      </c>
      <c r="P37" s="4"/>
      <c r="Q37" s="4">
        <f>IFERROR(VLOOKUP(A37,'درآمد ناشی ازفروش'!$A$8:$Q$38,17,0),0)</f>
        <v>0</v>
      </c>
      <c r="R37" s="4"/>
      <c r="S37" s="4">
        <f t="shared" si="2"/>
        <v>-571808811</v>
      </c>
      <c r="T37" s="64"/>
      <c r="U37" s="56">
        <f>S37/درآمدها!$K$6</f>
        <v>-3.7331870803291388E-2</v>
      </c>
      <c r="V37" s="65"/>
      <c r="W37" s="65"/>
      <c r="X37" s="65"/>
    </row>
    <row r="38" spans="1:24" s="59" customFormat="1" ht="36.75" customHeight="1">
      <c r="A38" s="107" t="s">
        <v>129</v>
      </c>
      <c r="C38" s="4">
        <f>IFERROR(VLOOKUP(A38,'درآمد سود سهام'!$A$9:$S$28,13,0),0)</f>
        <v>0</v>
      </c>
      <c r="D38" s="4"/>
      <c r="E38" s="4">
        <f>IFERROR(VLOOKUP(A38,'درآمد ناشی از تغییر قیمت  '!$A$8:$Q$33,9,0),0)</f>
        <v>2463809032</v>
      </c>
      <c r="F38" s="4"/>
      <c r="G38" s="4">
        <f>IFERROR(VLOOKUP(A38,'درآمد ناشی ازفروش'!$A$8:$I$37,9,0),0)</f>
        <v>0</v>
      </c>
      <c r="H38" s="4"/>
      <c r="I38" s="4">
        <f>G38+E38+C38</f>
        <v>2463809032</v>
      </c>
      <c r="K38" s="56">
        <f t="shared" si="1"/>
        <v>-0.7501818617250795</v>
      </c>
      <c r="M38" s="4">
        <f>IFERROR(VLOOKUP(A38,'درآمد سود سهام'!$A$9:$S$28,19,0),0)</f>
        <v>0</v>
      </c>
      <c r="N38" s="4"/>
      <c r="O38" s="4">
        <f>IFERROR(VLOOKUP(A38,'درآمد ناشی از تغییر قیمت  '!$A$8:$Q$33,17,0),0)</f>
        <v>0</v>
      </c>
      <c r="P38" s="4"/>
      <c r="Q38" s="4">
        <f>IFERROR(VLOOKUP(A38,'درآمد ناشی ازفروش'!$A$8:$Q$38,17,0),0)</f>
        <v>0</v>
      </c>
      <c r="R38" s="4"/>
      <c r="S38" s="4">
        <f>Q38+O38+M38</f>
        <v>0</v>
      </c>
      <c r="T38" s="64"/>
      <c r="U38" s="56">
        <f>S38/درآمدها!$K$6</f>
        <v>0</v>
      </c>
      <c r="V38" s="65"/>
      <c r="W38" s="65"/>
      <c r="X38" s="65"/>
    </row>
    <row r="39" spans="1:24" s="59" customFormat="1" ht="36.75" customHeight="1">
      <c r="A39" s="107" t="s">
        <v>152</v>
      </c>
      <c r="C39" s="4">
        <f>IFERROR(VLOOKUP(A39,'درآمد سود سهام'!$A$9:$S$102,13,0),0)</f>
        <v>0</v>
      </c>
      <c r="D39" s="4"/>
      <c r="E39" s="4">
        <f>IFERROR(VLOOKUP(A39,'درآمد ناشی از تغییر قیمت  '!$A$8:$Q$100,9,0),0)</f>
        <v>0</v>
      </c>
      <c r="F39" s="4"/>
      <c r="G39" s="4">
        <f>IFERROR(VLOOKUP(A39,'درآمد ناشی ازفروش'!$A$8:$I$106,9,0),0)</f>
        <v>0</v>
      </c>
      <c r="H39" s="4"/>
      <c r="I39" s="4">
        <f t="shared" si="0"/>
        <v>0</v>
      </c>
      <c r="K39" s="56">
        <f t="shared" si="1"/>
        <v>0</v>
      </c>
      <c r="M39" s="4">
        <f>IFERROR(VLOOKUP(A39,'درآمد سود سهام'!$A$9:$S$102,19,0),0)</f>
        <v>0</v>
      </c>
      <c r="N39" s="4"/>
      <c r="O39" s="4">
        <f>IFERROR(VLOOKUP(A39,'درآمد ناشی از تغییر قیمت  '!$A$8:$Q$100,17,0),0)</f>
        <v>0</v>
      </c>
      <c r="P39" s="4"/>
      <c r="Q39" s="4">
        <f>IFERROR(VLOOKUP(A39,'درآمد ناشی ازفروش'!$A$8:$Q$106,17,0),0)</f>
        <v>-126126493</v>
      </c>
      <c r="R39" s="4"/>
      <c r="S39" s="4">
        <f>Q39+O39+M39</f>
        <v>-126126493</v>
      </c>
      <c r="T39" s="64"/>
      <c r="U39" s="56">
        <f>S39/درآمدها!$K$6</f>
        <v>-8.234462028162479E-3</v>
      </c>
      <c r="V39" s="65"/>
      <c r="W39" s="65"/>
      <c r="X39" s="65"/>
    </row>
    <row r="40" spans="1:24" s="108" customFormat="1" ht="25.5" customHeight="1" thickBot="1">
      <c r="C40" s="109">
        <f>SUM(C11:C37)</f>
        <v>732079436</v>
      </c>
      <c r="D40" s="110">
        <v>0</v>
      </c>
      <c r="E40" s="109">
        <f>SUM(E11:E39)</f>
        <v>-3250079958</v>
      </c>
      <c r="F40" s="110">
        <v>0</v>
      </c>
      <c r="G40" s="109">
        <f>SUM(G11:G39)</f>
        <v>-70328984</v>
      </c>
      <c r="H40" s="110">
        <v>0</v>
      </c>
      <c r="I40" s="109">
        <f>SUM(I11:I39)</f>
        <v>-2588329506</v>
      </c>
      <c r="J40" s="111">
        <v>0</v>
      </c>
      <c r="K40" s="112">
        <f>SUM(K11:K39)</f>
        <v>0.78809592072679568</v>
      </c>
      <c r="M40" s="109">
        <f>SUM(M11:M39)</f>
        <v>893115257</v>
      </c>
      <c r="N40" s="4"/>
      <c r="O40" s="109">
        <f>SUM(O11:O39)</f>
        <v>-223185479</v>
      </c>
      <c r="P40" s="4"/>
      <c r="Q40" s="109">
        <f>SUM(Q11:Q39)</f>
        <v>13210492218</v>
      </c>
      <c r="R40" s="4"/>
      <c r="S40" s="109">
        <f>SUM(S11:S39)</f>
        <v>13880421996</v>
      </c>
      <c r="T40" s="111"/>
      <c r="U40" s="112">
        <f>SUM(U11:U39)</f>
        <v>0.9062156977672664</v>
      </c>
    </row>
    <row r="41" spans="1:24" ht="25.5" customHeight="1" thickTop="1">
      <c r="D41" s="4">
        <v>0</v>
      </c>
      <c r="F41" s="4">
        <v>0</v>
      </c>
      <c r="H41" s="4">
        <v>0</v>
      </c>
      <c r="J41" s="64">
        <v>0</v>
      </c>
      <c r="L41" s="59"/>
      <c r="N41" s="4"/>
      <c r="O41" s="113"/>
      <c r="P41" s="4"/>
      <c r="Q41" s="113"/>
      <c r="R41" s="4"/>
      <c r="S41" s="113"/>
      <c r="T41" s="113"/>
    </row>
    <row r="42" spans="1:24" s="42" customFormat="1" ht="33"/>
    <row r="43" spans="1:24" s="42" customFormat="1" ht="33"/>
    <row r="44" spans="1:24" s="42" customFormat="1" ht="33"/>
    <row r="48" spans="1:24" ht="33">
      <c r="D48" s="115"/>
      <c r="E48" s="43"/>
      <c r="F48" s="43"/>
      <c r="G48" s="43"/>
      <c r="H48" s="116"/>
    </row>
  </sheetData>
  <autoFilter ref="A10:U10" xr:uid="{00000000-0009-0000-0000-000009000000}">
    <sortState xmlns:xlrd2="http://schemas.microsoft.com/office/spreadsheetml/2017/richdata2" ref="A13:U53">
      <sortCondition descending="1" ref="S10"/>
    </sortState>
  </autoFilter>
  <mergeCells count="23">
    <mergeCell ref="A1:U1"/>
    <mergeCell ref="A2:U2"/>
    <mergeCell ref="A3:U3"/>
    <mergeCell ref="C8:C9"/>
    <mergeCell ref="E8:E9"/>
    <mergeCell ref="G8:G9"/>
    <mergeCell ref="M8:M9"/>
    <mergeCell ref="O8:O9"/>
    <mergeCell ref="Q8:Q9"/>
    <mergeCell ref="I8:K9"/>
    <mergeCell ref="S8:U9"/>
    <mergeCell ref="A5:U5"/>
    <mergeCell ref="N8:N10"/>
    <mergeCell ref="P8:P10"/>
    <mergeCell ref="R8:R10"/>
    <mergeCell ref="H8:H10"/>
    <mergeCell ref="M7:U7"/>
    <mergeCell ref="C7:K7"/>
    <mergeCell ref="L8:L10"/>
    <mergeCell ref="A8:A10"/>
    <mergeCell ref="B8:B10"/>
    <mergeCell ref="D8:D10"/>
    <mergeCell ref="F8:F10"/>
  </mergeCells>
  <printOptions horizontalCentered="1"/>
  <pageMargins left="0.25" right="0.25" top="0.75" bottom="0.75" header="0.3" footer="0.3"/>
  <pageSetup paperSize="9" scale="40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tabColor rgb="FF00B0F0"/>
    <pageSetUpPr fitToPage="1"/>
  </sheetPr>
  <dimension ref="A1:Q23"/>
  <sheetViews>
    <sheetView rightToLeft="1" view="pageBreakPreview" zoomScaleNormal="100" zoomScaleSheetLayoutView="100" workbookViewId="0">
      <selection activeCell="E19" sqref="E19"/>
    </sheetView>
  </sheetViews>
  <sheetFormatPr defaultColWidth="9.140625" defaultRowHeight="21.75"/>
  <cols>
    <col min="1" max="1" width="32.5703125" style="76" customWidth="1"/>
    <col min="2" max="2" width="0.42578125" style="76" customWidth="1"/>
    <col min="3" max="3" width="17.5703125" style="76" bestFit="1" customWidth="1"/>
    <col min="4" max="4" width="0.7109375" style="76" customWidth="1"/>
    <col min="5" max="5" width="20.140625" style="76" bestFit="1" customWidth="1"/>
    <col min="6" max="6" width="0.5703125" style="76" customWidth="1"/>
    <col min="7" max="7" width="18.85546875" style="76" bestFit="1" customWidth="1"/>
    <col min="8" max="8" width="0.5703125" style="76" customWidth="1"/>
    <col min="9" max="9" width="19.5703125" style="76" bestFit="1" customWidth="1"/>
    <col min="10" max="10" width="0.42578125" style="76" customWidth="1"/>
    <col min="11" max="11" width="17.5703125" style="76" bestFit="1" customWidth="1"/>
    <col min="12" max="12" width="0.5703125" style="76" customWidth="1"/>
    <col min="13" max="13" width="20.140625" style="76" bestFit="1" customWidth="1"/>
    <col min="14" max="14" width="0.85546875" style="76" customWidth="1"/>
    <col min="15" max="15" width="19.28515625" style="76" bestFit="1" customWidth="1"/>
    <col min="16" max="16" width="0.5703125" style="76" customWidth="1"/>
    <col min="17" max="17" width="20.140625" style="76" bestFit="1" customWidth="1"/>
    <col min="18" max="18" width="9.140625" style="76"/>
    <col min="19" max="19" width="13.7109375" style="76" bestFit="1" customWidth="1"/>
    <col min="20" max="16384" width="9.140625" style="76"/>
  </cols>
  <sheetData>
    <row r="1" spans="1:17" ht="21" customHeight="1">
      <c r="A1" s="321" t="s">
        <v>85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321"/>
      <c r="O1" s="321"/>
      <c r="P1" s="321"/>
      <c r="Q1" s="321"/>
    </row>
    <row r="2" spans="1:17" ht="18" customHeight="1">
      <c r="A2" s="321" t="s">
        <v>51</v>
      </c>
      <c r="B2" s="321"/>
      <c r="C2" s="321"/>
      <c r="D2" s="321"/>
      <c r="E2" s="321"/>
      <c r="F2" s="321"/>
      <c r="G2" s="321"/>
      <c r="H2" s="321"/>
      <c r="I2" s="321"/>
      <c r="J2" s="321"/>
      <c r="K2" s="321"/>
      <c r="L2" s="321"/>
      <c r="M2" s="321"/>
      <c r="N2" s="321"/>
      <c r="O2" s="321"/>
      <c r="P2" s="321"/>
      <c r="Q2" s="321"/>
    </row>
    <row r="3" spans="1:17" ht="19.5" customHeight="1">
      <c r="A3" s="321" t="str">
        <f>' سهام'!A3:W3</f>
        <v>برای ماه منتهی به 1403/02/31</v>
      </c>
      <c r="B3" s="321"/>
      <c r="C3" s="321"/>
      <c r="D3" s="321"/>
      <c r="E3" s="321"/>
      <c r="F3" s="321"/>
      <c r="G3" s="321"/>
      <c r="H3" s="321"/>
      <c r="I3" s="321"/>
      <c r="J3" s="321"/>
      <c r="K3" s="321"/>
      <c r="L3" s="321"/>
      <c r="M3" s="321"/>
      <c r="N3" s="321"/>
      <c r="O3" s="321"/>
      <c r="P3" s="321"/>
      <c r="Q3" s="321"/>
    </row>
    <row r="4" spans="1:17" ht="19.5" customHeight="1">
      <c r="A4" s="239"/>
      <c r="B4" s="239"/>
      <c r="C4" s="239"/>
      <c r="D4" s="239"/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39"/>
      <c r="Q4" s="239"/>
    </row>
    <row r="5" spans="1:17">
      <c r="A5" s="284" t="s">
        <v>26</v>
      </c>
      <c r="B5" s="284"/>
      <c r="C5" s="284"/>
      <c r="D5" s="284"/>
      <c r="E5" s="284"/>
      <c r="F5" s="284"/>
      <c r="G5" s="284"/>
      <c r="H5" s="284"/>
      <c r="I5" s="284"/>
      <c r="J5" s="284"/>
      <c r="K5" s="284"/>
      <c r="L5" s="284"/>
      <c r="M5" s="284"/>
      <c r="N5" s="284"/>
      <c r="O5" s="284"/>
      <c r="P5" s="284"/>
      <c r="Q5" s="284"/>
    </row>
    <row r="6" spans="1:17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</row>
    <row r="7" spans="1:17" ht="22.5" customHeight="1" thickBot="1">
      <c r="A7" s="125"/>
      <c r="B7" s="126"/>
      <c r="C7" s="321" t="str" cm="1">
        <f t="array" ref="C7:G7">'سود اوراق بهادار'!B6:F6</f>
        <v>طی اردیبهشت ماه</v>
      </c>
      <c r="D7" s="321">
        <v>0</v>
      </c>
      <c r="E7" s="321">
        <v>0</v>
      </c>
      <c r="F7" s="321">
        <v>0</v>
      </c>
      <c r="G7" s="321">
        <v>0</v>
      </c>
      <c r="H7" s="321"/>
      <c r="I7" s="321"/>
      <c r="J7" s="241"/>
      <c r="K7" s="322" t="str" cm="1">
        <f t="array" ref="K7:O7">'سود اوراق بهادار'!H6:L6</f>
        <v>از ابتدای سال مالی تا پایان اردیبهشت ماه</v>
      </c>
      <c r="L7" s="322">
        <v>0</v>
      </c>
      <c r="M7" s="322">
        <v>0</v>
      </c>
      <c r="N7" s="322">
        <v>0</v>
      </c>
      <c r="O7" s="322">
        <v>0</v>
      </c>
      <c r="P7" s="322"/>
      <c r="Q7" s="322"/>
    </row>
    <row r="8" spans="1:17" ht="15.75" customHeight="1">
      <c r="A8" s="316"/>
      <c r="B8" s="317"/>
      <c r="C8" s="318" t="s">
        <v>12</v>
      </c>
      <c r="D8" s="318"/>
      <c r="E8" s="318" t="s">
        <v>10</v>
      </c>
      <c r="F8" s="316"/>
      <c r="G8" s="318" t="s">
        <v>11</v>
      </c>
      <c r="H8" s="316"/>
      <c r="I8" s="318" t="s">
        <v>2</v>
      </c>
      <c r="J8" s="240"/>
      <c r="K8" s="318" t="s">
        <v>12</v>
      </c>
      <c r="L8" s="318"/>
      <c r="M8" s="318" t="s">
        <v>10</v>
      </c>
      <c r="N8" s="316"/>
      <c r="O8" s="318" t="s">
        <v>11</v>
      </c>
      <c r="P8" s="316"/>
      <c r="Q8" s="318" t="s">
        <v>2</v>
      </c>
    </row>
    <row r="9" spans="1:17" ht="12" customHeight="1">
      <c r="A9" s="317"/>
      <c r="B9" s="317"/>
      <c r="C9" s="319"/>
      <c r="D9" s="319"/>
      <c r="E9" s="319"/>
      <c r="F9" s="317"/>
      <c r="G9" s="319"/>
      <c r="H9" s="317"/>
      <c r="I9" s="319"/>
      <c r="J9" s="240"/>
      <c r="K9" s="319"/>
      <c r="L9" s="319"/>
      <c r="M9" s="319"/>
      <c r="N9" s="317"/>
      <c r="O9" s="319"/>
      <c r="P9" s="317"/>
      <c r="Q9" s="319"/>
    </row>
    <row r="10" spans="1:17" ht="14.25" customHeight="1" thickBot="1">
      <c r="A10" s="317"/>
      <c r="B10" s="317"/>
      <c r="C10" s="145" t="s">
        <v>60</v>
      </c>
      <c r="D10" s="319"/>
      <c r="E10" s="145" t="s">
        <v>56</v>
      </c>
      <c r="F10" s="317"/>
      <c r="G10" s="145" t="s">
        <v>57</v>
      </c>
      <c r="H10" s="317"/>
      <c r="I10" s="320"/>
      <c r="J10" s="127"/>
      <c r="K10" s="145" t="s">
        <v>60</v>
      </c>
      <c r="L10" s="319"/>
      <c r="M10" s="145" t="s">
        <v>56</v>
      </c>
      <c r="N10" s="317"/>
      <c r="O10" s="145" t="s">
        <v>57</v>
      </c>
      <c r="P10" s="317"/>
      <c r="Q10" s="320"/>
    </row>
    <row r="11" spans="1:17" ht="21" customHeight="1">
      <c r="A11" s="74" t="s">
        <v>112</v>
      </c>
      <c r="B11" s="77"/>
      <c r="C11" s="16">
        <v>0</v>
      </c>
      <c r="D11" s="16"/>
      <c r="E11" s="16">
        <f>IFERROR(VLOOKUP(A11,'درآمد ناشی از تغییر قیمت  '!$A$8:$Q$100,9,0),0)</f>
        <v>-144868139</v>
      </c>
      <c r="F11" s="16"/>
      <c r="G11" s="16">
        <f>IFERROR(VLOOKUP(A11,'درآمد ناشی ازفروش'!$A$8:$I$106,9,0),0)</f>
        <v>0</v>
      </c>
      <c r="H11" s="16"/>
      <c r="I11" s="16">
        <f>C11+E11+G11</f>
        <v>-144868139</v>
      </c>
      <c r="J11" s="16"/>
      <c r="K11" s="16">
        <v>0</v>
      </c>
      <c r="L11" s="16"/>
      <c r="M11" s="16">
        <f>IFERROR(VLOOKUP(A11,'درآمد ناشی از تغییر قیمت  '!$A$8:$Q$100,17,0),0)</f>
        <v>130162814</v>
      </c>
      <c r="N11" s="16"/>
      <c r="O11" s="16">
        <f>IFERROR(VLOOKUP(A11,'درآمد ناشی ازفروش'!$A$8:$Q$106,17,0),0)</f>
        <v>41715398</v>
      </c>
      <c r="P11" s="16"/>
      <c r="Q11" s="16">
        <f>K11+M11+O11</f>
        <v>171878212</v>
      </c>
    </row>
    <row r="12" spans="1:17" ht="21" customHeight="1">
      <c r="A12" s="74" t="s">
        <v>113</v>
      </c>
      <c r="B12" s="77"/>
      <c r="C12" s="16">
        <v>0</v>
      </c>
      <c r="D12" s="16"/>
      <c r="E12" s="16">
        <f>IFERROR(VLOOKUP(A12,'درآمد ناشی از تغییر قیمت  '!$A$8:$Q$100,9,0),0)</f>
        <v>-272309943</v>
      </c>
      <c r="F12" s="16"/>
      <c r="G12" s="16">
        <f>IFERROR(VLOOKUP(A12,'درآمد ناشی ازفروش'!$A$8:$I$106,9,0),0)</f>
        <v>55981164</v>
      </c>
      <c r="H12" s="16"/>
      <c r="I12" s="16">
        <f t="shared" ref="I12:I15" si="0">C12+E12+G12</f>
        <v>-216328779</v>
      </c>
      <c r="J12" s="16"/>
      <c r="K12" s="16">
        <v>0</v>
      </c>
      <c r="L12" s="16"/>
      <c r="M12" s="16">
        <f>IFERROR(VLOOKUP(A12,'درآمد ناشی از تغییر قیمت  '!$A$8:$Q$100,17,0),0)</f>
        <v>53142931</v>
      </c>
      <c r="N12" s="16"/>
      <c r="O12" s="16">
        <f>IFERROR(VLOOKUP(A12,'درآمد ناشی ازفروش'!$A$8:$Q$106,17,0),0)</f>
        <v>75495592</v>
      </c>
      <c r="P12" s="16"/>
      <c r="Q12" s="16">
        <f t="shared" ref="Q12:Q15" si="1">K12+M12+O12</f>
        <v>128638523</v>
      </c>
    </row>
    <row r="13" spans="1:17" ht="21" customHeight="1">
      <c r="A13" s="74" t="s">
        <v>106</v>
      </c>
      <c r="B13" s="77"/>
      <c r="C13" s="16">
        <v>0</v>
      </c>
      <c r="D13" s="16"/>
      <c r="E13" s="16">
        <f>IFERROR(VLOOKUP(A13,'درآمد ناشی از تغییر قیمت  '!$A$8:$Q$100,9,0),0)</f>
        <v>-11547908</v>
      </c>
      <c r="F13" s="16"/>
      <c r="G13" s="16">
        <f>IFERROR(VLOOKUP(A13,'درآمد ناشی ازفروش'!$A$8:$I$106,9,0),0)</f>
        <v>0</v>
      </c>
      <c r="H13" s="16"/>
      <c r="I13" s="16">
        <f t="shared" si="0"/>
        <v>-11547908</v>
      </c>
      <c r="J13" s="16"/>
      <c r="K13" s="16">
        <v>0</v>
      </c>
      <c r="L13" s="16"/>
      <c r="M13" s="16">
        <f>IFERROR(VLOOKUP(A13,'درآمد ناشی از تغییر قیمت  '!$A$8:$Q$100,17,0),0)</f>
        <v>73395990</v>
      </c>
      <c r="N13" s="16"/>
      <c r="O13" s="16">
        <f>IFERROR(VLOOKUP(A13,'درآمد ناشی ازفروش'!$A$8:$Q$106,17,0),0)</f>
        <v>21079396</v>
      </c>
      <c r="P13" s="16"/>
      <c r="Q13" s="16">
        <f t="shared" si="1"/>
        <v>94475386</v>
      </c>
    </row>
    <row r="14" spans="1:17" ht="21" customHeight="1">
      <c r="A14" s="74" t="s">
        <v>114</v>
      </c>
      <c r="B14" s="77"/>
      <c r="C14" s="16">
        <v>0</v>
      </c>
      <c r="D14" s="16"/>
      <c r="E14" s="16">
        <f>IFERROR(VLOOKUP(A14,'درآمد ناشی از تغییر قیمت  '!$A$8:$Q$100,9,0),0)</f>
        <v>-542352681</v>
      </c>
      <c r="F14" s="16"/>
      <c r="G14" s="16">
        <f>IFERROR(VLOOKUP(A14,'درآمد ناشی ازفروش'!$A$8:$I$106,9,0),0)</f>
        <v>0</v>
      </c>
      <c r="H14" s="16"/>
      <c r="I14" s="16">
        <f t="shared" si="0"/>
        <v>-542352681</v>
      </c>
      <c r="J14" s="16"/>
      <c r="K14" s="16">
        <v>0</v>
      </c>
      <c r="L14" s="16"/>
      <c r="M14" s="16">
        <f>IFERROR(VLOOKUP(A14,'درآمد ناشی از تغییر قیمت  '!$A$8:$Q$100,17,0),0)</f>
        <v>-660145268</v>
      </c>
      <c r="N14" s="16"/>
      <c r="O14" s="16">
        <f>IFERROR(VLOOKUP(A14,'درآمد ناشی ازفروش'!$A$8:$Q$106,17,0),0)</f>
        <v>0</v>
      </c>
      <c r="P14" s="16"/>
      <c r="Q14" s="16">
        <f t="shared" si="1"/>
        <v>-660145268</v>
      </c>
    </row>
    <row r="15" spans="1:17" ht="21" customHeight="1">
      <c r="A15" s="74" t="s">
        <v>130</v>
      </c>
      <c r="B15" s="77"/>
      <c r="C15" s="16">
        <v>0</v>
      </c>
      <c r="D15" s="16"/>
      <c r="E15" s="16">
        <f>IFERROR(VLOOKUP(A15,'درآمد ناشی از تغییر قیمت  '!$A$8:$Q$100,9,0),0)</f>
        <v>-92383252</v>
      </c>
      <c r="F15" s="16"/>
      <c r="G15" s="16">
        <f>IFERROR(VLOOKUP(A15,'درآمد ناشی ازفروش'!$A$8:$I$106,9,0),0)</f>
        <v>0</v>
      </c>
      <c r="H15" s="16"/>
      <c r="I15" s="16">
        <f t="shared" si="0"/>
        <v>-92383252</v>
      </c>
      <c r="J15" s="16"/>
      <c r="K15" s="16">
        <v>0</v>
      </c>
      <c r="L15" s="16"/>
      <c r="M15" s="16">
        <f>IFERROR(VLOOKUP(A15,'درآمد ناشی از تغییر قیمت  '!$A$8:$Q$100,17,0),0)</f>
        <v>5847428</v>
      </c>
      <c r="N15" s="16"/>
      <c r="O15" s="16">
        <f>IFERROR(VLOOKUP(A15,'درآمد ناشی ازفروش'!$A$8:$Q$106,17,0),0)</f>
        <v>0</v>
      </c>
      <c r="P15" s="16"/>
      <c r="Q15" s="16">
        <f t="shared" si="1"/>
        <v>5847428</v>
      </c>
    </row>
    <row r="16" spans="1:17" ht="21" customHeight="1" thickBot="1">
      <c r="A16" s="120" t="s">
        <v>2</v>
      </c>
      <c r="B16" s="121"/>
      <c r="C16" s="146">
        <f>SUM(C11:C15)</f>
        <v>0</v>
      </c>
      <c r="D16" s="147">
        <f t="shared" ref="D16:P16" si="2">SUM(D11:D11)</f>
        <v>0</v>
      </c>
      <c r="E16" s="146">
        <f>SUM(E11:E15)</f>
        <v>-1063461923</v>
      </c>
      <c r="F16" s="147">
        <f t="shared" si="2"/>
        <v>0</v>
      </c>
      <c r="G16" s="146">
        <f>SUM(G11:G15)</f>
        <v>55981164</v>
      </c>
      <c r="H16" s="147">
        <f t="shared" si="2"/>
        <v>0</v>
      </c>
      <c r="I16" s="146">
        <f>SUM(I11:I15)</f>
        <v>-1007480759</v>
      </c>
      <c r="J16" s="147">
        <f t="shared" si="2"/>
        <v>0</v>
      </c>
      <c r="K16" s="146">
        <f>SUM(K11:K15)</f>
        <v>0</v>
      </c>
      <c r="L16" s="147">
        <f t="shared" si="2"/>
        <v>0</v>
      </c>
      <c r="M16" s="146">
        <f>SUM(M11:M15)</f>
        <v>-397596105</v>
      </c>
      <c r="N16" s="147">
        <f t="shared" si="2"/>
        <v>0</v>
      </c>
      <c r="O16" s="146">
        <f>SUM(O11:O15)</f>
        <v>138290386</v>
      </c>
      <c r="P16" s="147">
        <f t="shared" si="2"/>
        <v>0</v>
      </c>
      <c r="Q16" s="146">
        <f>SUM(Q11:Q15)</f>
        <v>-259305719</v>
      </c>
    </row>
    <row r="17" spans="1:17" ht="22.5" thickTop="1">
      <c r="A17" s="69"/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</row>
    <row r="18" spans="1:17" s="16" customFormat="1"/>
    <row r="19" spans="1:17" s="16" customFormat="1"/>
    <row r="20" spans="1:17" s="16" customFormat="1"/>
    <row r="22" spans="1:17">
      <c r="O22" s="123"/>
      <c r="Q22" s="123"/>
    </row>
    <row r="23" spans="1:17">
      <c r="O23" s="86"/>
      <c r="Q23" s="86"/>
    </row>
  </sheetData>
  <autoFilter ref="A10:Q10" xr:uid="{00000000-0009-0000-0000-00000A000000}">
    <sortState xmlns:xlrd2="http://schemas.microsoft.com/office/spreadsheetml/2017/richdata2" ref="A13:Q13">
      <sortCondition descending="1" ref="O10"/>
    </sortState>
  </autoFilter>
  <mergeCells count="22">
    <mergeCell ref="A1:Q1"/>
    <mergeCell ref="A2:Q2"/>
    <mergeCell ref="A3:Q3"/>
    <mergeCell ref="C8:C9"/>
    <mergeCell ref="E8:E9"/>
    <mergeCell ref="G8:G9"/>
    <mergeCell ref="K8:K9"/>
    <mergeCell ref="M8:M9"/>
    <mergeCell ref="O8:O9"/>
    <mergeCell ref="A5:Q5"/>
    <mergeCell ref="C7:I7"/>
    <mergeCell ref="K7:Q7"/>
    <mergeCell ref="L8:L10"/>
    <mergeCell ref="N8:N10"/>
    <mergeCell ref="F8:F10"/>
    <mergeCell ref="H8:H10"/>
    <mergeCell ref="A8:A10"/>
    <mergeCell ref="B8:B10"/>
    <mergeCell ref="D8:D10"/>
    <mergeCell ref="Q8:Q10"/>
    <mergeCell ref="I8:I10"/>
    <mergeCell ref="P8:P10"/>
  </mergeCells>
  <pageMargins left="0.25" right="0.25" top="0.75" bottom="0.75" header="0.3" footer="0.3"/>
  <pageSetup paperSize="9" scale="74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tabColor rgb="FF00B0F0"/>
    <pageSetUpPr fitToPage="1"/>
  </sheetPr>
  <dimension ref="A1:L17"/>
  <sheetViews>
    <sheetView rightToLeft="1" view="pageBreakPreview" zoomScaleNormal="100" zoomScaleSheetLayoutView="100" workbookViewId="0">
      <selection activeCell="G17" sqref="G17"/>
    </sheetView>
  </sheetViews>
  <sheetFormatPr defaultColWidth="9.140625" defaultRowHeight="21.75"/>
  <cols>
    <col min="1" max="1" width="39" style="76" bestFit="1" customWidth="1"/>
    <col min="2" max="2" width="0.7109375" style="76" customWidth="1"/>
    <col min="3" max="3" width="18.42578125" style="47" customWidth="1"/>
    <col min="4" max="4" width="1.42578125" style="47" customWidth="1"/>
    <col min="5" max="5" width="21.7109375" style="47" customWidth="1"/>
    <col min="6" max="6" width="1.42578125" style="47" customWidth="1"/>
    <col min="7" max="7" width="26.140625" style="47" customWidth="1"/>
    <col min="8" max="8" width="1.28515625" style="76" customWidth="1"/>
    <col min="9" max="9" width="22" style="76" customWidth="1"/>
    <col min="10" max="10" width="0.7109375" style="76" customWidth="1"/>
    <col min="11" max="11" width="9.7109375" style="76" customWidth="1"/>
    <col min="12" max="12" width="15.42578125" style="76" bestFit="1" customWidth="1"/>
    <col min="13" max="16384" width="9.140625" style="76"/>
  </cols>
  <sheetData>
    <row r="1" spans="1:12" ht="22.5">
      <c r="A1" s="321" t="s">
        <v>85</v>
      </c>
      <c r="B1" s="321"/>
      <c r="C1" s="321"/>
      <c r="D1" s="321"/>
      <c r="E1" s="321"/>
      <c r="F1" s="321"/>
      <c r="G1" s="321"/>
      <c r="H1" s="321"/>
      <c r="I1" s="321"/>
      <c r="J1" s="321"/>
    </row>
    <row r="2" spans="1:12" ht="22.5">
      <c r="A2" s="321" t="s">
        <v>51</v>
      </c>
      <c r="B2" s="321"/>
      <c r="C2" s="321"/>
      <c r="D2" s="321"/>
      <c r="E2" s="321"/>
      <c r="F2" s="321"/>
      <c r="G2" s="321"/>
      <c r="H2" s="321"/>
      <c r="I2" s="321"/>
      <c r="J2" s="321"/>
    </row>
    <row r="3" spans="1:12" ht="22.5">
      <c r="A3" s="321" t="str">
        <f>' سهام'!A3:W3</f>
        <v>برای ماه منتهی به 1403/02/31</v>
      </c>
      <c r="B3" s="321"/>
      <c r="C3" s="321"/>
      <c r="D3" s="321"/>
      <c r="E3" s="321"/>
      <c r="F3" s="321"/>
      <c r="G3" s="321"/>
      <c r="H3" s="321"/>
      <c r="I3" s="321"/>
      <c r="J3" s="321"/>
    </row>
    <row r="4" spans="1:12" ht="22.5">
      <c r="A4" s="239"/>
      <c r="B4" s="239"/>
      <c r="C4" s="239"/>
      <c r="D4" s="239"/>
      <c r="E4" s="239"/>
      <c r="F4" s="239"/>
      <c r="G4" s="239"/>
      <c r="H4" s="239"/>
      <c r="I4" s="239"/>
      <c r="J4" s="239"/>
    </row>
    <row r="5" spans="1:12">
      <c r="A5" s="284" t="s">
        <v>27</v>
      </c>
      <c r="B5" s="284"/>
      <c r="C5" s="284"/>
      <c r="D5" s="284"/>
      <c r="E5" s="284"/>
      <c r="F5" s="284"/>
      <c r="G5" s="284"/>
      <c r="H5" s="284"/>
      <c r="I5" s="284"/>
      <c r="J5" s="284"/>
    </row>
    <row r="6" spans="1:12" ht="22.5" thickBot="1">
      <c r="A6" s="70"/>
      <c r="B6" s="70"/>
      <c r="C6" s="11"/>
      <c r="D6" s="11"/>
      <c r="E6" s="11"/>
      <c r="F6" s="11"/>
      <c r="G6" s="11"/>
      <c r="H6" s="70"/>
      <c r="I6" s="70"/>
      <c r="J6" s="70"/>
    </row>
    <row r="7" spans="1:12" ht="37.5" customHeight="1" thickBot="1">
      <c r="A7" s="323" t="s">
        <v>17</v>
      </c>
      <c r="B7" s="323"/>
      <c r="C7" s="324" t="s">
        <v>153</v>
      </c>
      <c r="D7" s="324"/>
      <c r="E7" s="324"/>
      <c r="F7" s="324"/>
      <c r="G7" s="323" t="s">
        <v>154</v>
      </c>
      <c r="H7" s="323"/>
      <c r="I7" s="323"/>
      <c r="J7" s="323"/>
    </row>
    <row r="8" spans="1:12" ht="37.5">
      <c r="A8" s="117" t="s">
        <v>13</v>
      </c>
      <c r="B8" s="241"/>
      <c r="C8" s="44" t="s">
        <v>14</v>
      </c>
      <c r="D8" s="45"/>
      <c r="E8" s="44" t="s">
        <v>15</v>
      </c>
      <c r="F8" s="46"/>
      <c r="G8" s="44" t="s">
        <v>14</v>
      </c>
      <c r="H8" s="241"/>
      <c r="I8" s="117" t="s">
        <v>15</v>
      </c>
      <c r="J8" s="241"/>
    </row>
    <row r="9" spans="1:12" ht="27" customHeight="1">
      <c r="A9" s="118" t="s">
        <v>155</v>
      </c>
      <c r="B9" s="77"/>
      <c r="C9" s="12">
        <f>'سود سپرده بانکی'!F8</f>
        <v>3506</v>
      </c>
      <c r="D9" s="77"/>
      <c r="E9" s="119">
        <f>C9/$C$12</f>
        <v>3.0389404419506987E-5</v>
      </c>
      <c r="F9" s="77"/>
      <c r="G9" s="12">
        <f>'سود سپرده بانکی'!L8</f>
        <v>2072834</v>
      </c>
      <c r="H9" s="77"/>
      <c r="I9" s="119">
        <f>G9/$G$12</f>
        <v>7.4717578098990487E-3</v>
      </c>
      <c r="J9" s="241"/>
      <c r="K9" s="86"/>
      <c r="L9" s="86"/>
    </row>
    <row r="10" spans="1:12" ht="27" customHeight="1">
      <c r="A10" s="118" t="s">
        <v>94</v>
      </c>
      <c r="B10" s="77"/>
      <c r="C10" s="12">
        <f>'سود سپرده بانکی'!F9</f>
        <v>24293050.157894731</v>
      </c>
      <c r="D10" s="77"/>
      <c r="E10" s="119">
        <f t="shared" ref="E10:E11" si="0">C10/$C$12</f>
        <v>0.21056797656350001</v>
      </c>
      <c r="F10" s="77"/>
      <c r="G10" s="12">
        <f>'سود سپرده بانکی'!L9</f>
        <v>110233</v>
      </c>
      <c r="H10" s="77"/>
      <c r="I10" s="119">
        <f t="shared" ref="I10:I11" si="1">G10/$G$12</f>
        <v>3.9734695525961162E-4</v>
      </c>
      <c r="J10" s="241"/>
      <c r="K10" s="86"/>
      <c r="L10" s="86"/>
    </row>
    <row r="11" spans="1:12" ht="27" customHeight="1" thickBot="1">
      <c r="A11" s="118" t="s">
        <v>143</v>
      </c>
      <c r="B11" s="77"/>
      <c r="C11" s="12">
        <f>'سود سپرده بانکی'!F10</f>
        <v>91072601.842105269</v>
      </c>
      <c r="D11" s="77"/>
      <c r="E11" s="119">
        <f t="shared" si="0"/>
        <v>0.78940163403208052</v>
      </c>
      <c r="F11" s="77"/>
      <c r="G11" s="12">
        <f>'سود سپرده بانکی'!L10</f>
        <v>275239469</v>
      </c>
      <c r="H11" s="77"/>
      <c r="I11" s="119">
        <f t="shared" si="1"/>
        <v>0.99213089523484133</v>
      </c>
      <c r="J11" s="241"/>
      <c r="K11" s="86"/>
      <c r="L11" s="86"/>
    </row>
    <row r="12" spans="1:12" ht="22.5" thickBot="1">
      <c r="A12" s="120" t="s">
        <v>2</v>
      </c>
      <c r="B12" s="121"/>
      <c r="C12" s="215">
        <f>SUM(C9:C11)</f>
        <v>115369158</v>
      </c>
      <c r="D12" s="77"/>
      <c r="E12" s="122">
        <f>SUM(E9:E11)</f>
        <v>1</v>
      </c>
      <c r="F12" s="77"/>
      <c r="G12" s="215">
        <f>SUM(G9:G11)</f>
        <v>277422536</v>
      </c>
      <c r="H12" s="77"/>
      <c r="I12" s="122">
        <f>SUM(I9:I11)</f>
        <v>1</v>
      </c>
      <c r="J12" s="241"/>
    </row>
    <row r="13" spans="1:12" ht="22.5" thickTop="1">
      <c r="D13" s="77"/>
      <c r="F13" s="77"/>
      <c r="H13" s="77"/>
    </row>
    <row r="14" spans="1:12">
      <c r="C14" s="123"/>
      <c r="D14" s="76"/>
      <c r="E14" s="76"/>
      <c r="F14" s="76"/>
      <c r="G14" s="123"/>
    </row>
    <row r="15" spans="1:12">
      <c r="C15" s="86"/>
      <c r="D15" s="76"/>
      <c r="E15" s="76"/>
      <c r="F15" s="76"/>
      <c r="G15" s="86"/>
    </row>
    <row r="17" spans="3:7">
      <c r="C17" s="16"/>
      <c r="G17" s="16"/>
    </row>
  </sheetData>
  <autoFilter ref="A8:J8" xr:uid="{00000000-0009-0000-0000-00000B000000}">
    <sortState xmlns:xlrd2="http://schemas.microsoft.com/office/spreadsheetml/2017/richdata2" ref="A9:J16">
      <sortCondition descending="1" ref="G8"/>
    </sortState>
  </autoFilter>
  <mergeCells count="7">
    <mergeCell ref="A7:B7"/>
    <mergeCell ref="C7:F7"/>
    <mergeCell ref="A5:J5"/>
    <mergeCell ref="G7:J7"/>
    <mergeCell ref="A1:J1"/>
    <mergeCell ref="A2:J2"/>
    <mergeCell ref="A3:J3"/>
  </mergeCells>
  <pageMargins left="0.7" right="0.7" top="0.75" bottom="0.75" header="0.3" footer="0.3"/>
  <pageSetup paperSize="9" scale="9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tabColor rgb="FF00B0F0"/>
  </sheetPr>
  <dimension ref="A1:K24"/>
  <sheetViews>
    <sheetView rightToLeft="1" view="pageBreakPreview" zoomScaleNormal="100" zoomScaleSheetLayoutView="100" workbookViewId="0">
      <selection activeCell="G14" sqref="G14"/>
    </sheetView>
  </sheetViews>
  <sheetFormatPr defaultColWidth="9.140625" defaultRowHeight="18"/>
  <cols>
    <col min="1" max="1" width="32.42578125" style="69" customWidth="1"/>
    <col min="2" max="2" width="1.42578125" style="69" customWidth="1"/>
    <col min="3" max="3" width="17.7109375" style="69" bestFit="1" customWidth="1"/>
    <col min="4" max="4" width="0.85546875" style="69" customWidth="1"/>
    <col min="5" max="5" width="18.140625" style="69" customWidth="1"/>
    <col min="6" max="6" width="9.140625" style="69"/>
    <col min="7" max="7" width="11.28515625" style="69" bestFit="1" customWidth="1"/>
    <col min="8" max="8" width="10.85546875" style="69" bestFit="1" customWidth="1"/>
    <col min="9" max="9" width="9.140625" style="69"/>
    <col min="10" max="10" width="9.85546875" style="69" bestFit="1" customWidth="1"/>
    <col min="11" max="11" width="11.28515625" style="69" bestFit="1" customWidth="1"/>
    <col min="12" max="16384" width="9.140625" style="69"/>
  </cols>
  <sheetData>
    <row r="1" spans="1:11" s="124" customFormat="1" ht="18.75">
      <c r="A1" s="281" t="s">
        <v>85</v>
      </c>
      <c r="B1" s="281"/>
      <c r="C1" s="281"/>
      <c r="D1" s="281"/>
      <c r="E1" s="281"/>
    </row>
    <row r="2" spans="1:11" s="124" customFormat="1" ht="18.75">
      <c r="A2" s="281" t="s">
        <v>51</v>
      </c>
      <c r="B2" s="281"/>
      <c r="C2" s="281"/>
      <c r="D2" s="281"/>
      <c r="E2" s="281"/>
    </row>
    <row r="3" spans="1:11" s="124" customFormat="1" ht="18.75">
      <c r="A3" s="281" t="str">
        <f>' سهام'!A3:W3</f>
        <v>برای ماه منتهی به 1403/02/31</v>
      </c>
      <c r="B3" s="281"/>
      <c r="C3" s="281"/>
      <c r="D3" s="281"/>
      <c r="E3" s="281"/>
    </row>
    <row r="4" spans="1:11" s="124" customFormat="1" ht="18.75">
      <c r="A4" s="236"/>
      <c r="B4" s="236"/>
      <c r="C4" s="236"/>
      <c r="D4" s="236"/>
      <c r="E4" s="236"/>
    </row>
    <row r="5" spans="1:11" ht="18.75">
      <c r="A5" s="284" t="s">
        <v>28</v>
      </c>
      <c r="B5" s="284"/>
      <c r="C5" s="284"/>
      <c r="D5" s="284"/>
      <c r="E5" s="284"/>
    </row>
    <row r="6" spans="1:11" ht="49.5" customHeight="1" thickBot="1">
      <c r="A6" s="125"/>
      <c r="B6" s="126"/>
      <c r="C6" s="242" t="s">
        <v>153</v>
      </c>
      <c r="D6" s="241"/>
      <c r="E6" s="242" t="s">
        <v>154</v>
      </c>
    </row>
    <row r="7" spans="1:11" ht="16.5" customHeight="1">
      <c r="A7" s="316"/>
      <c r="B7" s="317"/>
      <c r="C7" s="318" t="s">
        <v>6</v>
      </c>
      <c r="D7" s="240"/>
      <c r="E7" s="318" t="s">
        <v>6</v>
      </c>
    </row>
    <row r="8" spans="1:11" ht="18.75" thickBot="1">
      <c r="A8" s="317"/>
      <c r="B8" s="317"/>
      <c r="C8" s="320"/>
      <c r="D8" s="127"/>
      <c r="E8" s="320"/>
    </row>
    <row r="9" spans="1:11">
      <c r="A9" s="241" t="s">
        <v>29</v>
      </c>
      <c r="B9" s="241"/>
      <c r="C9" s="12">
        <v>0</v>
      </c>
      <c r="D9" s="12"/>
      <c r="E9" s="12">
        <v>18434597</v>
      </c>
      <c r="F9" s="75"/>
      <c r="G9" s="82"/>
      <c r="H9" s="82"/>
      <c r="J9" s="75"/>
      <c r="K9" s="75"/>
    </row>
    <row r="10" spans="1:11">
      <c r="A10" s="241" t="s">
        <v>96</v>
      </c>
      <c r="B10" s="241"/>
      <c r="C10" s="12">
        <v>0</v>
      </c>
      <c r="D10" s="12">
        <v>27449510</v>
      </c>
      <c r="E10" s="12">
        <v>265983</v>
      </c>
      <c r="F10" s="128"/>
      <c r="G10" s="82"/>
      <c r="I10" s="75"/>
      <c r="J10" s="75"/>
    </row>
    <row r="11" spans="1:11">
      <c r="A11" s="241" t="s">
        <v>121</v>
      </c>
      <c r="B11" s="241"/>
      <c r="C11" s="12">
        <v>0</v>
      </c>
      <c r="D11" s="12"/>
      <c r="E11" s="12">
        <v>16118023</v>
      </c>
      <c r="F11" s="128"/>
      <c r="G11" s="82"/>
      <c r="I11" s="75"/>
      <c r="J11" s="75"/>
    </row>
    <row r="12" spans="1:11" ht="18.75" thickBot="1">
      <c r="A12" s="129" t="s">
        <v>2</v>
      </c>
      <c r="B12" s="241"/>
      <c r="C12" s="210">
        <f>SUM(C9:C11)</f>
        <v>0</v>
      </c>
      <c r="D12" s="12"/>
      <c r="E12" s="210">
        <f>SUM(E9:E11)</f>
        <v>34818603</v>
      </c>
    </row>
    <row r="13" spans="1:11" ht="18.75" thickTop="1">
      <c r="A13" s="241"/>
      <c r="D13" s="12"/>
    </row>
    <row r="14" spans="1:11">
      <c r="C14" s="130"/>
      <c r="E14" s="66"/>
    </row>
    <row r="15" spans="1:11">
      <c r="C15" s="75"/>
      <c r="E15" s="66"/>
    </row>
    <row r="16" spans="1:11">
      <c r="E16" s="66"/>
    </row>
    <row r="17" spans="3:11">
      <c r="C17" s="66"/>
      <c r="E17" s="66"/>
    </row>
    <row r="18" spans="3:11">
      <c r="C18" s="75"/>
      <c r="E18" s="66"/>
    </row>
    <row r="19" spans="3:11">
      <c r="C19" s="66"/>
      <c r="E19" s="75"/>
    </row>
    <row r="21" spans="3:11">
      <c r="C21" s="130"/>
    </row>
    <row r="22" spans="3:11">
      <c r="J22" s="130"/>
      <c r="K22" s="130"/>
    </row>
    <row r="24" spans="3:11">
      <c r="K24" s="130"/>
    </row>
  </sheetData>
  <mergeCells count="8">
    <mergeCell ref="A1:E1"/>
    <mergeCell ref="A2:E2"/>
    <mergeCell ref="A3:E3"/>
    <mergeCell ref="E7:E8"/>
    <mergeCell ref="C7:C8"/>
    <mergeCell ref="A5:E5"/>
    <mergeCell ref="A7:A8"/>
    <mergeCell ref="B7:B8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rgb="FF92D050"/>
  </sheetPr>
  <dimension ref="A1:W23"/>
  <sheetViews>
    <sheetView rightToLeft="1" view="pageBreakPreview" zoomScale="90" zoomScaleNormal="100" zoomScaleSheetLayoutView="90" workbookViewId="0">
      <selection activeCell="S26" sqref="S26"/>
    </sheetView>
  </sheetViews>
  <sheetFormatPr defaultColWidth="9.140625" defaultRowHeight="17.25"/>
  <cols>
    <col min="1" max="1" width="35.28515625" style="77" customWidth="1"/>
    <col min="2" max="2" width="0.5703125" style="77" customWidth="1"/>
    <col min="3" max="3" width="15" style="77" customWidth="1"/>
    <col min="4" max="4" width="0.85546875" style="77" customWidth="1"/>
    <col min="5" max="5" width="15.28515625" style="77" bestFit="1" customWidth="1"/>
    <col min="6" max="6" width="1.140625" style="77" customWidth="1"/>
    <col min="7" max="7" width="9.42578125" style="77" bestFit="1" customWidth="1"/>
    <col min="8" max="8" width="0.5703125" style="77" customWidth="1"/>
    <col min="9" max="9" width="14.42578125" style="77" customWidth="1"/>
    <col min="10" max="10" width="1" style="77" customWidth="1"/>
    <col min="11" max="11" width="15.28515625" style="77" customWidth="1"/>
    <col min="12" max="12" width="1.140625" style="77" customWidth="1"/>
    <col min="13" max="13" width="13.7109375" style="77" customWidth="1"/>
    <col min="14" max="14" width="1" style="77" customWidth="1"/>
    <col min="15" max="15" width="15.7109375" style="77" customWidth="1"/>
    <col min="16" max="16" width="1.140625" style="77" customWidth="1"/>
    <col min="17" max="17" width="16" style="77" bestFit="1" customWidth="1"/>
    <col min="18" max="18" width="1.140625" style="77" customWidth="1"/>
    <col min="19" max="19" width="13.28515625" style="77" customWidth="1"/>
    <col min="20" max="20" width="2.85546875" style="77" customWidth="1"/>
    <col min="21" max="16384" width="9.140625" style="77"/>
  </cols>
  <sheetData>
    <row r="1" spans="1:23" ht="22.5">
      <c r="A1" s="321" t="s">
        <v>85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321"/>
      <c r="O1" s="321"/>
      <c r="P1" s="321"/>
      <c r="Q1" s="321"/>
      <c r="R1" s="321"/>
      <c r="S1" s="321"/>
    </row>
    <row r="2" spans="1:23" ht="22.5">
      <c r="A2" s="321" t="s">
        <v>51</v>
      </c>
      <c r="B2" s="321"/>
      <c r="C2" s="321"/>
      <c r="D2" s="321"/>
      <c r="E2" s="321"/>
      <c r="F2" s="321"/>
      <c r="G2" s="321"/>
      <c r="H2" s="321"/>
      <c r="I2" s="321"/>
      <c r="J2" s="321"/>
      <c r="K2" s="321"/>
      <c r="L2" s="321"/>
      <c r="M2" s="321"/>
      <c r="N2" s="321"/>
      <c r="O2" s="321"/>
      <c r="P2" s="321"/>
      <c r="Q2" s="321"/>
      <c r="R2" s="321"/>
      <c r="S2" s="321"/>
    </row>
    <row r="3" spans="1:23" ht="22.5">
      <c r="A3" s="321" t="str">
        <f>' سهام'!A3:W3</f>
        <v>برای ماه منتهی به 1403/02/31</v>
      </c>
      <c r="B3" s="321"/>
      <c r="C3" s="321"/>
      <c r="D3" s="321"/>
      <c r="E3" s="321"/>
      <c r="F3" s="321"/>
      <c r="G3" s="321"/>
      <c r="H3" s="321"/>
      <c r="I3" s="321"/>
      <c r="J3" s="321"/>
      <c r="K3" s="321"/>
      <c r="L3" s="321"/>
      <c r="M3" s="321"/>
      <c r="N3" s="321"/>
      <c r="O3" s="321"/>
      <c r="P3" s="321"/>
      <c r="Q3" s="321"/>
      <c r="R3" s="321"/>
      <c r="S3" s="321"/>
    </row>
    <row r="4" spans="1:23" ht="22.5">
      <c r="A4" s="239"/>
      <c r="B4" s="239"/>
      <c r="C4" s="239"/>
      <c r="D4" s="239"/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39"/>
      <c r="Q4" s="239"/>
      <c r="R4" s="239"/>
      <c r="S4" s="239"/>
    </row>
    <row r="5" spans="1:23" ht="22.5">
      <c r="A5" s="327" t="s">
        <v>70</v>
      </c>
      <c r="B5" s="327"/>
      <c r="C5" s="327"/>
      <c r="D5" s="327"/>
      <c r="E5" s="327"/>
      <c r="F5" s="327"/>
      <c r="G5" s="327"/>
      <c r="H5" s="327"/>
      <c r="I5" s="328"/>
      <c r="J5" s="328"/>
      <c r="K5" s="328"/>
      <c r="L5" s="328"/>
      <c r="M5" s="328"/>
      <c r="N5" s="328"/>
      <c r="O5" s="328"/>
      <c r="P5" s="328"/>
      <c r="Q5" s="327"/>
      <c r="R5" s="327"/>
      <c r="S5" s="327"/>
    </row>
    <row r="7" spans="1:23" ht="18.75">
      <c r="C7" s="325" t="s">
        <v>71</v>
      </c>
      <c r="D7" s="326"/>
      <c r="E7" s="326"/>
      <c r="F7" s="326"/>
      <c r="G7" s="326"/>
      <c r="I7" s="325" t="s">
        <v>72</v>
      </c>
      <c r="J7" s="326"/>
      <c r="K7" s="326"/>
      <c r="L7" s="326"/>
      <c r="M7" s="326"/>
      <c r="O7" s="325" t="str">
        <f>اوراق!Y7</f>
        <v>1403/02/31</v>
      </c>
      <c r="P7" s="326"/>
      <c r="Q7" s="326"/>
      <c r="R7" s="326"/>
      <c r="S7" s="326"/>
    </row>
    <row r="8" spans="1:23" ht="56.25">
      <c r="A8" s="243" t="s">
        <v>73</v>
      </c>
      <c r="C8" s="87" t="s">
        <v>74</v>
      </c>
      <c r="E8" s="87" t="s">
        <v>75</v>
      </c>
      <c r="G8" s="87" t="s">
        <v>76</v>
      </c>
      <c r="I8" s="87" t="s">
        <v>77</v>
      </c>
      <c r="K8" s="87" t="s">
        <v>78</v>
      </c>
      <c r="M8" s="87" t="s">
        <v>79</v>
      </c>
      <c r="O8" s="87" t="s">
        <v>77</v>
      </c>
      <c r="Q8" s="87" t="s">
        <v>78</v>
      </c>
      <c r="S8" s="87" t="s">
        <v>79</v>
      </c>
    </row>
    <row r="9" spans="1:23" ht="21.75">
      <c r="A9" s="88" t="s">
        <v>103</v>
      </c>
      <c r="B9" s="89"/>
      <c r="C9" s="244" t="s">
        <v>144</v>
      </c>
      <c r="D9" s="27"/>
      <c r="E9" s="12">
        <v>40952</v>
      </c>
      <c r="F9" s="12"/>
      <c r="G9" s="12">
        <v>3935</v>
      </c>
      <c r="H9" s="12"/>
      <c r="I9" s="12">
        <v>0</v>
      </c>
      <c r="J9" s="12"/>
      <c r="K9" s="12">
        <v>0</v>
      </c>
      <c r="L9" s="12"/>
      <c r="M9" s="12">
        <f>I9+K9</f>
        <v>0</v>
      </c>
      <c r="N9" s="12"/>
      <c r="O9" s="12">
        <v>161146120</v>
      </c>
      <c r="P9" s="12"/>
      <c r="Q9" s="12">
        <v>-110299</v>
      </c>
      <c r="R9" s="12"/>
      <c r="S9" s="12">
        <f>O9+Q9</f>
        <v>161035821</v>
      </c>
      <c r="U9" s="90"/>
      <c r="V9" s="90"/>
      <c r="W9" s="90"/>
    </row>
    <row r="10" spans="1:23" ht="21.75">
      <c r="A10" s="88" t="s">
        <v>97</v>
      </c>
      <c r="B10" s="89"/>
      <c r="C10" s="244" t="s">
        <v>150</v>
      </c>
      <c r="D10" s="27"/>
      <c r="E10" s="12">
        <v>43844</v>
      </c>
      <c r="F10" s="12"/>
      <c r="G10" s="12">
        <v>5600</v>
      </c>
      <c r="H10" s="12"/>
      <c r="I10" s="12">
        <v>245526400</v>
      </c>
      <c r="J10" s="12"/>
      <c r="K10" s="12">
        <v>-34165230</v>
      </c>
      <c r="L10" s="12"/>
      <c r="M10" s="12">
        <f t="shared" ref="M10:M11" si="0">I10+K10</f>
        <v>211361170</v>
      </c>
      <c r="N10" s="12"/>
      <c r="O10" s="12">
        <v>245526400</v>
      </c>
      <c r="P10" s="12"/>
      <c r="Q10" s="12">
        <v>-34165230</v>
      </c>
      <c r="R10" s="12"/>
      <c r="S10" s="12">
        <f t="shared" ref="S10:S11" si="1">O10+Q10</f>
        <v>211361170</v>
      </c>
      <c r="U10" s="90"/>
      <c r="V10" s="90"/>
      <c r="W10" s="90"/>
    </row>
    <row r="11" spans="1:23" ht="21.75">
      <c r="A11" s="88" t="s">
        <v>124</v>
      </c>
      <c r="B11" s="89"/>
      <c r="C11" s="244" t="s">
        <v>151</v>
      </c>
      <c r="D11" s="27"/>
      <c r="E11" s="12">
        <v>300000</v>
      </c>
      <c r="F11" s="12"/>
      <c r="G11" s="12">
        <v>1920</v>
      </c>
      <c r="H11" s="12"/>
      <c r="I11" s="12">
        <v>576000000</v>
      </c>
      <c r="J11" s="12"/>
      <c r="K11" s="12">
        <v>-55281734</v>
      </c>
      <c r="L11" s="12"/>
      <c r="M11" s="12">
        <f t="shared" si="0"/>
        <v>520718266</v>
      </c>
      <c r="N11" s="12"/>
      <c r="O11" s="12">
        <v>576000000</v>
      </c>
      <c r="P11" s="12"/>
      <c r="Q11" s="12">
        <v>-55281734</v>
      </c>
      <c r="R11" s="12"/>
      <c r="S11" s="12">
        <f t="shared" si="1"/>
        <v>520718266</v>
      </c>
      <c r="U11" s="90"/>
      <c r="V11" s="90"/>
      <c r="W11" s="90"/>
    </row>
    <row r="12" spans="1:23" ht="18.75" thickBot="1">
      <c r="A12" s="91" t="s">
        <v>80</v>
      </c>
      <c r="E12" s="81"/>
      <c r="F12" s="81"/>
      <c r="G12" s="81"/>
      <c r="H12" s="81"/>
      <c r="I12" s="210">
        <f>SUM(I9:I11)</f>
        <v>821526400</v>
      </c>
      <c r="J12" s="211" t="e">
        <f>SUM(#REF!)</f>
        <v>#REF!</v>
      </c>
      <c r="K12" s="212">
        <f>SUM(K9:K11)</f>
        <v>-89446964</v>
      </c>
      <c r="L12" s="211" t="e">
        <f>SUM(#REF!)</f>
        <v>#REF!</v>
      </c>
      <c r="M12" s="210">
        <f>SUM(M9:M11)</f>
        <v>732079436</v>
      </c>
      <c r="N12" s="211" t="e">
        <f>SUM(#REF!)</f>
        <v>#REF!</v>
      </c>
      <c r="O12" s="210">
        <f>SUM(O9:O11)</f>
        <v>982672520</v>
      </c>
      <c r="P12" s="211"/>
      <c r="Q12" s="210">
        <f>SUM(Q9:Q11)</f>
        <v>-89557263</v>
      </c>
      <c r="R12" s="211" t="e">
        <f>SUM(#REF!)</f>
        <v>#REF!</v>
      </c>
      <c r="S12" s="210">
        <f>SUM(S9:S11)</f>
        <v>893115257</v>
      </c>
    </row>
    <row r="13" spans="1:23" ht="18.75" thickTop="1">
      <c r="I13" s="92"/>
      <c r="K13" s="92"/>
      <c r="M13" s="92"/>
      <c r="O13" s="92"/>
      <c r="Q13" s="92"/>
      <c r="S13" s="92"/>
    </row>
    <row r="14" spans="1:23" ht="16.5" customHeight="1"/>
    <row r="15" spans="1:23" s="12" customFormat="1" ht="18"/>
    <row r="16" spans="1:23" s="12" customFormat="1" ht="18"/>
    <row r="17" spans="7:19" s="12" customFormat="1" ht="18"/>
    <row r="18" spans="7:19" s="12" customFormat="1" ht="18"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</row>
    <row r="19" spans="7:19" s="12" customFormat="1" ht="18"/>
    <row r="20" spans="7:19" s="12" customFormat="1" ht="18"/>
    <row r="21" spans="7:19" s="12" customFormat="1" ht="18"/>
    <row r="22" spans="7:19" s="12" customFormat="1" ht="18"/>
    <row r="23" spans="7:19" s="12" customFormat="1" ht="18"/>
  </sheetData>
  <autoFilter ref="A8:S8" xr:uid="{00000000-0009-0000-0000-000006000000}">
    <sortState xmlns:xlrd2="http://schemas.microsoft.com/office/spreadsheetml/2017/richdata2" ref="A9:S28">
      <sortCondition descending="1" ref="S8"/>
    </sortState>
  </autoFilter>
  <mergeCells count="9">
    <mergeCell ref="C7:G7"/>
    <mergeCell ref="I7:M7"/>
    <mergeCell ref="O7:S7"/>
    <mergeCell ref="A1:S1"/>
    <mergeCell ref="A2:S2"/>
    <mergeCell ref="A5:H5"/>
    <mergeCell ref="I5:P5"/>
    <mergeCell ref="Q5:S5"/>
    <mergeCell ref="A3:S3"/>
  </mergeCells>
  <pageMargins left="0.7" right="0.7" top="0.75" bottom="0.75" header="0.3" footer="0.3"/>
  <pageSetup scale="47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92D050"/>
    <pageSetUpPr fitToPage="1"/>
  </sheetPr>
  <dimension ref="A1:AA20"/>
  <sheetViews>
    <sheetView rightToLeft="1" view="pageBreakPreview" zoomScale="85" zoomScaleNormal="100" zoomScaleSheetLayoutView="85" workbookViewId="0">
      <selection activeCell="M20" sqref="M20"/>
    </sheetView>
  </sheetViews>
  <sheetFormatPr defaultColWidth="9.140625" defaultRowHeight="21.75"/>
  <cols>
    <col min="1" max="1" width="50.85546875" style="69" customWidth="1"/>
    <col min="2" max="2" width="25" style="22" bestFit="1" customWidth="1"/>
    <col min="3" max="3" width="0.85546875" style="22" customWidth="1"/>
    <col min="4" max="4" width="25" style="22" bestFit="1" customWidth="1"/>
    <col min="5" max="5" width="0.7109375" style="22" customWidth="1"/>
    <col min="6" max="6" width="23.140625" style="22" bestFit="1" customWidth="1"/>
    <col min="7" max="7" width="0.7109375" style="22" customWidth="1"/>
    <col min="8" max="8" width="23.140625" style="22" bestFit="1" customWidth="1"/>
    <col min="9" max="9" width="0.5703125" style="22" customWidth="1"/>
    <col min="10" max="10" width="17" style="22" bestFit="1" customWidth="1"/>
    <col min="11" max="11" width="0.5703125" style="22" customWidth="1"/>
    <col min="12" max="12" width="23.140625" style="22" bestFit="1" customWidth="1"/>
    <col min="13" max="13" width="9.140625" style="69"/>
    <col min="14" max="14" width="14.28515625" style="195" bestFit="1" customWidth="1"/>
    <col min="15" max="15" width="15.85546875" style="195" bestFit="1" customWidth="1"/>
    <col min="16" max="16" width="11.28515625" style="195" bestFit="1" customWidth="1"/>
    <col min="17" max="17" width="14.42578125" style="195" bestFit="1" customWidth="1"/>
    <col min="18" max="18" width="2.42578125" style="195" customWidth="1"/>
    <col min="19" max="19" width="14.28515625" style="195" bestFit="1" customWidth="1"/>
    <col min="20" max="20" width="15.85546875" style="195" bestFit="1" customWidth="1"/>
    <col min="21" max="21" width="11.28515625" style="195" bestFit="1" customWidth="1"/>
    <col min="22" max="22" width="14.42578125" style="195" bestFit="1" customWidth="1"/>
    <col min="23" max="27" width="9.140625" style="195"/>
    <col min="28" max="16384" width="9.140625" style="69"/>
  </cols>
  <sheetData>
    <row r="1" spans="1:27" ht="24.75">
      <c r="A1" s="268" t="s">
        <v>85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</row>
    <row r="2" spans="1:27" ht="24.75">
      <c r="A2" s="268" t="s">
        <v>51</v>
      </c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8"/>
    </row>
    <row r="3" spans="1:27" ht="24.75">
      <c r="A3" s="268" t="str">
        <f>' سهام'!A3:W3</f>
        <v>برای ماه منتهی به 1403/02/31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268"/>
    </row>
    <row r="4" spans="1:27" ht="24.75">
      <c r="A4" s="233"/>
      <c r="B4" s="233"/>
      <c r="C4" s="233"/>
      <c r="D4" s="233"/>
      <c r="E4" s="233"/>
      <c r="F4" s="233"/>
      <c r="G4" s="233"/>
      <c r="H4" s="233"/>
      <c r="I4" s="233"/>
      <c r="J4" s="233"/>
      <c r="K4" s="233"/>
      <c r="L4" s="233"/>
    </row>
    <row r="5" spans="1:27" ht="24.75">
      <c r="A5" s="274" t="s">
        <v>156</v>
      </c>
      <c r="B5" s="274"/>
      <c r="C5" s="19"/>
      <c r="D5" s="20"/>
      <c r="E5" s="20"/>
      <c r="F5" s="20"/>
      <c r="G5" s="20"/>
      <c r="H5" s="20"/>
      <c r="I5" s="20"/>
      <c r="J5" s="20"/>
      <c r="K5" s="20"/>
      <c r="L5" s="20"/>
    </row>
    <row r="6" spans="1:27" ht="24.75" customHeight="1" thickBot="1">
      <c r="A6" s="84"/>
      <c r="B6" s="329" t="s">
        <v>153</v>
      </c>
      <c r="C6" s="329"/>
      <c r="D6" s="329"/>
      <c r="E6" s="329"/>
      <c r="F6" s="329"/>
      <c r="G6" s="20"/>
      <c r="H6" s="329" t="s">
        <v>154</v>
      </c>
      <c r="I6" s="329"/>
      <c r="J6" s="329"/>
      <c r="K6" s="329"/>
      <c r="L6" s="329"/>
    </row>
    <row r="7" spans="1:27" ht="46.5" customHeight="1" thickBot="1">
      <c r="A7" s="85" t="s">
        <v>33</v>
      </c>
      <c r="B7" s="21" t="s">
        <v>52</v>
      </c>
      <c r="C7" s="238"/>
      <c r="D7" s="21" t="s">
        <v>35</v>
      </c>
      <c r="E7" s="238"/>
      <c r="F7" s="21" t="s">
        <v>36</v>
      </c>
      <c r="G7" s="20"/>
      <c r="H7" s="21" t="s">
        <v>52</v>
      </c>
      <c r="I7" s="238"/>
      <c r="J7" s="21" t="s">
        <v>35</v>
      </c>
      <c r="K7" s="238"/>
      <c r="L7" s="21" t="s">
        <v>36</v>
      </c>
      <c r="N7" s="196"/>
      <c r="O7" s="197"/>
      <c r="P7" s="198"/>
      <c r="S7" s="196"/>
      <c r="T7" s="197"/>
      <c r="U7" s="198"/>
    </row>
    <row r="8" spans="1:27" s="76" customFormat="1" ht="46.5" customHeight="1">
      <c r="A8" s="148" t="s">
        <v>84</v>
      </c>
      <c r="B8" s="33">
        <v>0</v>
      </c>
      <c r="C8" s="33"/>
      <c r="D8" s="33">
        <v>0</v>
      </c>
      <c r="E8" s="33"/>
      <c r="F8" s="33">
        <f>B8+D8</f>
        <v>0</v>
      </c>
      <c r="G8" s="33"/>
      <c r="H8" s="33">
        <v>0</v>
      </c>
      <c r="I8" s="33"/>
      <c r="J8" s="33">
        <v>0</v>
      </c>
      <c r="K8" s="33"/>
      <c r="L8" s="33">
        <f>H8+J8</f>
        <v>0</v>
      </c>
      <c r="M8" s="66"/>
      <c r="N8" s="195"/>
      <c r="O8" s="199"/>
      <c r="P8" s="195"/>
      <c r="Q8" s="195"/>
      <c r="R8" s="195"/>
      <c r="S8" s="195"/>
      <c r="T8" s="199"/>
      <c r="U8" s="195"/>
      <c r="V8" s="195"/>
      <c r="W8" s="195"/>
      <c r="X8" s="195"/>
      <c r="Y8" s="195"/>
      <c r="Z8" s="195"/>
      <c r="AA8" s="195"/>
    </row>
    <row r="9" spans="1:27" ht="47.45" customHeight="1" thickBot="1">
      <c r="A9" s="148"/>
      <c r="B9" s="208">
        <f>SUM(B8:B8)</f>
        <v>0</v>
      </c>
      <c r="C9" s="102"/>
      <c r="D9" s="208">
        <f>SUM(D8:D8)</f>
        <v>0</v>
      </c>
      <c r="E9" s="102"/>
      <c r="F9" s="208">
        <f>SUM(F8:F8)</f>
        <v>0</v>
      </c>
      <c r="G9" s="102"/>
      <c r="H9" s="208">
        <f>SUM(H8:H8)</f>
        <v>0</v>
      </c>
      <c r="I9" s="102"/>
      <c r="J9" s="208">
        <f>SUM(J8:J8)</f>
        <v>0</v>
      </c>
      <c r="K9" s="209" t="e">
        <f>SUM(#REF!)</f>
        <v>#REF!</v>
      </c>
      <c r="L9" s="208">
        <f>SUM(L8:L8)</f>
        <v>0</v>
      </c>
    </row>
    <row r="10" spans="1:27" ht="22.5" thickTop="1">
      <c r="C10" s="76"/>
      <c r="E10" s="76"/>
      <c r="G10" s="76"/>
      <c r="I10" s="76"/>
    </row>
    <row r="11" spans="1:27">
      <c r="C11" s="76"/>
      <c r="E11" s="76"/>
      <c r="G11" s="76"/>
      <c r="I11" s="76"/>
    </row>
    <row r="12" spans="1:27">
      <c r="B12" s="66"/>
      <c r="C12" s="76"/>
      <c r="E12" s="76"/>
      <c r="G12" s="76"/>
    </row>
    <row r="13" spans="1:27" s="77" customFormat="1">
      <c r="B13" s="82"/>
      <c r="D13" s="83"/>
      <c r="F13" s="23"/>
      <c r="H13" s="24"/>
      <c r="J13" s="82"/>
      <c r="L13" s="12"/>
      <c r="N13" s="195"/>
      <c r="O13" s="195"/>
      <c r="P13" s="195"/>
      <c r="Q13" s="195"/>
      <c r="R13" s="195"/>
      <c r="S13" s="195"/>
      <c r="T13" s="195"/>
      <c r="U13" s="195"/>
      <c r="V13" s="195"/>
      <c r="W13" s="195"/>
      <c r="X13" s="195"/>
      <c r="Y13" s="195"/>
      <c r="Z13" s="195"/>
      <c r="AA13" s="195"/>
    </row>
    <row r="14" spans="1:27" s="77" customFormat="1">
      <c r="B14" s="25"/>
      <c r="C14" s="81"/>
      <c r="D14" s="81"/>
      <c r="F14" s="23"/>
      <c r="H14" s="25"/>
      <c r="J14" s="81"/>
      <c r="L14" s="12"/>
      <c r="N14" s="195"/>
      <c r="O14" s="195"/>
      <c r="P14" s="195"/>
      <c r="Q14" s="195"/>
      <c r="R14" s="195"/>
      <c r="S14" s="195"/>
      <c r="T14" s="195"/>
      <c r="U14" s="195"/>
      <c r="V14" s="195"/>
      <c r="W14" s="195"/>
      <c r="X14" s="195"/>
      <c r="Y14" s="195"/>
      <c r="Z14" s="195"/>
      <c r="AA14" s="195"/>
    </row>
    <row r="15" spans="1:27">
      <c r="B15" s="16"/>
      <c r="C15" s="76"/>
      <c r="E15" s="76"/>
      <c r="F15" s="12"/>
      <c r="H15" s="16"/>
      <c r="L15" s="12"/>
    </row>
    <row r="16" spans="1:27">
      <c r="B16" s="16"/>
      <c r="E16" s="76"/>
      <c r="F16" s="12"/>
      <c r="H16" s="26"/>
      <c r="L16" s="12"/>
    </row>
    <row r="17" spans="6:12">
      <c r="F17" s="12"/>
      <c r="L17" s="12"/>
    </row>
    <row r="18" spans="6:12">
      <c r="F18" s="12"/>
      <c r="L18" s="12"/>
    </row>
    <row r="19" spans="6:12">
      <c r="F19" s="12"/>
      <c r="L19" s="12"/>
    </row>
    <row r="20" spans="6:12">
      <c r="F20" s="12"/>
      <c r="L20" s="12"/>
    </row>
  </sheetData>
  <autoFilter ref="A7:L7" xr:uid="{00000000-0009-0000-0000-000005000000}">
    <sortState xmlns:xlrd2="http://schemas.microsoft.com/office/spreadsheetml/2017/richdata2" ref="A8:L15">
      <sortCondition descending="1" ref="L7"/>
    </sortState>
  </autoFilter>
  <mergeCells count="6">
    <mergeCell ref="A5:B5"/>
    <mergeCell ref="H6:L6"/>
    <mergeCell ref="A1:L1"/>
    <mergeCell ref="A2:L2"/>
    <mergeCell ref="A3:L3"/>
    <mergeCell ref="B6:F6"/>
  </mergeCells>
  <printOptions horizontalCentered="1"/>
  <pageMargins left="0.25" right="0.25" top="0.75" bottom="0.75" header="0.3" footer="0.3"/>
  <pageSetup paperSize="9" scale="74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D7479-FB0E-456E-A883-29DD4210E876}">
  <sheetPr>
    <tabColor rgb="FF92D050"/>
    <pageSetUpPr fitToPage="1"/>
  </sheetPr>
  <dimension ref="A1:AA24"/>
  <sheetViews>
    <sheetView rightToLeft="1" view="pageBreakPreview" zoomScale="85" zoomScaleNormal="100" zoomScaleSheetLayoutView="85" workbookViewId="0">
      <selection activeCell="M8" sqref="M8"/>
    </sheetView>
  </sheetViews>
  <sheetFormatPr defaultColWidth="9.140625" defaultRowHeight="21.75"/>
  <cols>
    <col min="1" max="1" width="50.85546875" style="69" customWidth="1"/>
    <col min="2" max="2" width="25" style="22" bestFit="1" customWidth="1"/>
    <col min="3" max="3" width="0.85546875" style="22" customWidth="1"/>
    <col min="4" max="4" width="25" style="22" bestFit="1" customWidth="1"/>
    <col min="5" max="5" width="0.7109375" style="22" customWidth="1"/>
    <col min="6" max="6" width="23.140625" style="22" bestFit="1" customWidth="1"/>
    <col min="7" max="7" width="0.7109375" style="22" customWidth="1"/>
    <col min="8" max="8" width="23.140625" style="22" bestFit="1" customWidth="1"/>
    <col min="9" max="9" width="0.5703125" style="22" customWidth="1"/>
    <col min="10" max="10" width="17" style="22" bestFit="1" customWidth="1"/>
    <col min="11" max="11" width="0.5703125" style="22" customWidth="1"/>
    <col min="12" max="12" width="23.140625" style="22" bestFit="1" customWidth="1"/>
    <col min="13" max="13" width="9.140625" style="69"/>
    <col min="14" max="14" width="14.28515625" style="195" bestFit="1" customWidth="1"/>
    <col min="15" max="15" width="15.85546875" style="195" bestFit="1" customWidth="1"/>
    <col min="16" max="16" width="11.28515625" style="195" bestFit="1" customWidth="1"/>
    <col min="17" max="17" width="14.42578125" style="195" bestFit="1" customWidth="1"/>
    <col min="18" max="18" width="2.42578125" style="195" customWidth="1"/>
    <col min="19" max="19" width="14.28515625" style="195" bestFit="1" customWidth="1"/>
    <col min="20" max="20" width="15.85546875" style="195" bestFit="1" customWidth="1"/>
    <col min="21" max="21" width="11.28515625" style="195" bestFit="1" customWidth="1"/>
    <col min="22" max="22" width="14.42578125" style="195" bestFit="1" customWidth="1"/>
    <col min="23" max="27" width="9.140625" style="195"/>
    <col min="28" max="16384" width="9.140625" style="69"/>
  </cols>
  <sheetData>
    <row r="1" spans="1:27" ht="24.75">
      <c r="A1" s="268" t="s">
        <v>85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</row>
    <row r="2" spans="1:27" ht="24.75">
      <c r="A2" s="268" t="s">
        <v>51</v>
      </c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8"/>
    </row>
    <row r="3" spans="1:27" ht="24.75">
      <c r="A3" s="268" t="str">
        <f>' سهام'!A3:W3</f>
        <v>برای ماه منتهی به 1403/02/31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268"/>
    </row>
    <row r="4" spans="1:27" ht="24.75">
      <c r="A4" s="233"/>
      <c r="B4" s="233"/>
      <c r="C4" s="233"/>
      <c r="D4" s="233"/>
      <c r="E4" s="233"/>
      <c r="F4" s="233"/>
      <c r="G4" s="233"/>
      <c r="H4" s="233"/>
      <c r="I4" s="233"/>
      <c r="J4" s="233"/>
      <c r="K4" s="233"/>
      <c r="L4" s="233"/>
    </row>
    <row r="5" spans="1:27" ht="24.75">
      <c r="A5" s="274" t="s">
        <v>157</v>
      </c>
      <c r="B5" s="274"/>
      <c r="C5" s="19"/>
      <c r="D5" s="20"/>
      <c r="E5" s="20"/>
      <c r="F5" s="20"/>
      <c r="G5" s="20"/>
      <c r="H5" s="20"/>
      <c r="I5" s="20"/>
      <c r="J5" s="20"/>
      <c r="K5" s="20"/>
      <c r="L5" s="20"/>
    </row>
    <row r="6" spans="1:27" ht="24.75" customHeight="1" thickBot="1">
      <c r="A6" s="84"/>
      <c r="B6" s="329" t="s">
        <v>153</v>
      </c>
      <c r="C6" s="329"/>
      <c r="D6" s="329"/>
      <c r="E6" s="329"/>
      <c r="F6" s="329"/>
      <c r="G6" s="20"/>
      <c r="H6" s="329" t="s">
        <v>154</v>
      </c>
      <c r="I6" s="329"/>
      <c r="J6" s="329"/>
      <c r="K6" s="329"/>
      <c r="L6" s="329"/>
    </row>
    <row r="7" spans="1:27" ht="46.5" customHeight="1" thickBot="1">
      <c r="A7" s="85" t="s">
        <v>33</v>
      </c>
      <c r="B7" s="21" t="s">
        <v>52</v>
      </c>
      <c r="C7" s="238"/>
      <c r="D7" s="21" t="s">
        <v>35</v>
      </c>
      <c r="E7" s="238"/>
      <c r="F7" s="21" t="s">
        <v>36</v>
      </c>
      <c r="G7" s="20"/>
      <c r="H7" s="21" t="s">
        <v>52</v>
      </c>
      <c r="I7" s="238"/>
      <c r="J7" s="21" t="s">
        <v>35</v>
      </c>
      <c r="K7" s="238"/>
      <c r="L7" s="21" t="s">
        <v>36</v>
      </c>
      <c r="N7" s="196"/>
      <c r="O7" s="197"/>
      <c r="P7" s="198"/>
      <c r="S7" s="196"/>
      <c r="T7" s="197"/>
      <c r="U7" s="198"/>
    </row>
    <row r="8" spans="1:27" s="76" customFormat="1" ht="24">
      <c r="A8" s="148" t="s">
        <v>155</v>
      </c>
      <c r="B8" s="33">
        <v>3506</v>
      </c>
      <c r="C8" s="33"/>
      <c r="D8" s="33">
        <v>0</v>
      </c>
      <c r="E8" s="33"/>
      <c r="F8" s="33">
        <f t="shared" ref="F8:F9" si="0">B8+D8</f>
        <v>3506</v>
      </c>
      <c r="G8" s="33"/>
      <c r="H8" s="33">
        <v>2072834</v>
      </c>
      <c r="I8" s="33"/>
      <c r="J8" s="33">
        <v>0</v>
      </c>
      <c r="K8" s="33"/>
      <c r="L8" s="33">
        <f t="shared" ref="L8:L9" si="1">H8+J8</f>
        <v>2072834</v>
      </c>
      <c r="M8" s="66"/>
      <c r="N8" s="195"/>
      <c r="O8" s="195"/>
      <c r="P8" s="195"/>
      <c r="Q8" s="195"/>
      <c r="R8" s="195"/>
      <c r="S8" s="195"/>
      <c r="T8" s="195"/>
      <c r="U8" s="195"/>
      <c r="V8" s="195"/>
      <c r="W8" s="195"/>
      <c r="X8" s="195"/>
      <c r="Y8" s="195"/>
      <c r="Z8" s="195"/>
      <c r="AA8" s="195"/>
    </row>
    <row r="9" spans="1:27" s="76" customFormat="1" ht="24">
      <c r="A9" s="148" t="s">
        <v>94</v>
      </c>
      <c r="B9" s="33">
        <v>24293050.157894731</v>
      </c>
      <c r="C9" s="33"/>
      <c r="D9" s="33">
        <v>0</v>
      </c>
      <c r="E9" s="33"/>
      <c r="F9" s="33">
        <f t="shared" si="0"/>
        <v>24293050.157894731</v>
      </c>
      <c r="G9" s="33"/>
      <c r="H9" s="33">
        <v>110233</v>
      </c>
      <c r="I9" s="33"/>
      <c r="J9" s="33">
        <v>0</v>
      </c>
      <c r="K9" s="33"/>
      <c r="L9" s="33">
        <f t="shared" si="1"/>
        <v>110233</v>
      </c>
      <c r="M9" s="66"/>
      <c r="N9" s="195"/>
      <c r="O9" s="195"/>
      <c r="P9" s="195"/>
      <c r="Q9" s="199"/>
      <c r="R9" s="195"/>
      <c r="S9" s="195"/>
      <c r="T9" s="195"/>
      <c r="U9" s="195"/>
      <c r="V9" s="199"/>
      <c r="W9" s="195"/>
      <c r="X9" s="195"/>
      <c r="Y9" s="195"/>
      <c r="Z9" s="195"/>
      <c r="AA9" s="195"/>
    </row>
    <row r="10" spans="1:27" s="76" customFormat="1" ht="24">
      <c r="A10" s="148" t="s">
        <v>143</v>
      </c>
      <c r="B10" s="33">
        <v>91072601.842105269</v>
      </c>
      <c r="C10" s="33"/>
      <c r="D10" s="33">
        <v>0</v>
      </c>
      <c r="E10" s="33"/>
      <c r="F10" s="33">
        <f>B10+D10</f>
        <v>91072601.842105269</v>
      </c>
      <c r="G10" s="33"/>
      <c r="H10" s="33">
        <v>275427126</v>
      </c>
      <c r="I10" s="33"/>
      <c r="J10" s="33">
        <v>-187657</v>
      </c>
      <c r="K10" s="33"/>
      <c r="L10" s="33">
        <f>H10+J10</f>
        <v>275239469</v>
      </c>
      <c r="M10" s="66"/>
      <c r="N10" s="195"/>
      <c r="O10" s="199"/>
      <c r="P10" s="195"/>
      <c r="Q10" s="195"/>
      <c r="R10" s="195"/>
      <c r="S10" s="195"/>
      <c r="T10" s="199"/>
      <c r="U10" s="195"/>
      <c r="V10" s="195"/>
      <c r="W10" s="195"/>
      <c r="X10" s="195"/>
      <c r="Y10" s="195"/>
      <c r="Z10" s="195"/>
      <c r="AA10" s="195"/>
    </row>
    <row r="11" spans="1:27" ht="24.75" thickBot="1">
      <c r="A11" s="148"/>
      <c r="B11" s="208">
        <f>SUM(B8:B10)</f>
        <v>115369158</v>
      </c>
      <c r="C11" s="102"/>
      <c r="D11" s="208">
        <f>SUM(D8:D10)</f>
        <v>0</v>
      </c>
      <c r="E11" s="102"/>
      <c r="F11" s="208">
        <f>SUM(F8:F10)</f>
        <v>115369158</v>
      </c>
      <c r="G11" s="102"/>
      <c r="H11" s="208">
        <f>SUM(H8:H10)</f>
        <v>277610193</v>
      </c>
      <c r="I11" s="102"/>
      <c r="J11" s="208">
        <f>SUM(J8:J10)</f>
        <v>-187657</v>
      </c>
      <c r="K11" s="209" t="e">
        <f>SUM(#REF!)</f>
        <v>#REF!</v>
      </c>
      <c r="L11" s="208">
        <f>SUM(L8:L10)</f>
        <v>277422536</v>
      </c>
    </row>
    <row r="12" spans="1:27" ht="22.5" thickTop="1">
      <c r="C12" s="76"/>
      <c r="E12" s="76"/>
      <c r="G12" s="76"/>
      <c r="I12" s="76"/>
    </row>
    <row r="13" spans="1:27">
      <c r="C13" s="76"/>
      <c r="E13" s="76"/>
      <c r="G13" s="76"/>
      <c r="I13" s="76"/>
    </row>
    <row r="14" spans="1:27" s="33" customFormat="1" ht="24"/>
    <row r="15" spans="1:27" s="33" customFormat="1" ht="24"/>
    <row r="16" spans="1:27" s="33" customFormat="1" ht="24"/>
    <row r="17" spans="2:12" s="33" customFormat="1" ht="24"/>
    <row r="18" spans="2:12" s="33" customFormat="1" ht="24"/>
    <row r="19" spans="2:12">
      <c r="B19" s="16"/>
      <c r="C19" s="76"/>
      <c r="E19" s="76"/>
      <c r="F19" s="12"/>
      <c r="H19" s="16"/>
      <c r="L19" s="12"/>
    </row>
    <row r="20" spans="2:12">
      <c r="B20" s="16"/>
      <c r="E20" s="76"/>
      <c r="F20" s="12"/>
      <c r="H20" s="26"/>
      <c r="L20" s="12"/>
    </row>
    <row r="21" spans="2:12">
      <c r="F21" s="12"/>
      <c r="L21" s="12"/>
    </row>
    <row r="22" spans="2:12">
      <c r="F22" s="12"/>
      <c r="L22" s="12"/>
    </row>
    <row r="23" spans="2:12">
      <c r="F23" s="12"/>
      <c r="L23" s="12"/>
    </row>
    <row r="24" spans="2:12">
      <c r="F24" s="12"/>
      <c r="L24" s="12"/>
    </row>
  </sheetData>
  <autoFilter ref="A7:L7" xr:uid="{00000000-0009-0000-0000-000005000000}">
    <sortState xmlns:xlrd2="http://schemas.microsoft.com/office/spreadsheetml/2017/richdata2" ref="A8:L15">
      <sortCondition descending="1" ref="L7"/>
    </sortState>
  </autoFilter>
  <mergeCells count="6">
    <mergeCell ref="A1:L1"/>
    <mergeCell ref="A2:L2"/>
    <mergeCell ref="A3:L3"/>
    <mergeCell ref="A5:B5"/>
    <mergeCell ref="B6:F6"/>
    <mergeCell ref="H6:L6"/>
  </mergeCells>
  <printOptions horizontalCentered="1"/>
  <pageMargins left="0.25" right="0.25" top="0.75" bottom="0.75" header="0.3" footer="0.3"/>
  <pageSetup paperSize="9" scale="74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rgb="FF92D050"/>
    <pageSetUpPr fitToPage="1"/>
  </sheetPr>
  <dimension ref="A1:AA73"/>
  <sheetViews>
    <sheetView rightToLeft="1" view="pageBreakPreview" zoomScale="80" zoomScaleNormal="100" zoomScaleSheetLayoutView="80" workbookViewId="0">
      <selection activeCell="S9" sqref="S9"/>
    </sheetView>
  </sheetViews>
  <sheetFormatPr defaultColWidth="9.140625" defaultRowHeight="17.25"/>
  <cols>
    <col min="1" max="1" width="29.7109375" style="77" customWidth="1"/>
    <col min="2" max="2" width="1.140625" style="77" customWidth="1"/>
    <col min="3" max="3" width="17.28515625" style="77" bestFit="1" customWidth="1"/>
    <col min="4" max="4" width="0.85546875" style="77" customWidth="1"/>
    <col min="5" max="5" width="24.5703125" style="17" bestFit="1" customWidth="1"/>
    <col min="6" max="6" width="0.5703125" style="17" customWidth="1"/>
    <col min="7" max="7" width="22.5703125" style="17" bestFit="1" customWidth="1"/>
    <col min="8" max="8" width="0.85546875" style="17" customWidth="1"/>
    <col min="9" max="9" width="22" style="34" bestFit="1" customWidth="1"/>
    <col min="10" max="10" width="0.5703125" style="34" customWidth="1"/>
    <col min="11" max="11" width="13.7109375" style="34" customWidth="1"/>
    <col min="12" max="12" width="0.42578125" style="34" customWidth="1"/>
    <col min="13" max="13" width="26.28515625" style="34" bestFit="1" customWidth="1"/>
    <col min="14" max="14" width="0.42578125" style="34" customWidth="1"/>
    <col min="15" max="15" width="24.28515625" style="34" bestFit="1" customWidth="1"/>
    <col min="16" max="16" width="0.5703125" style="34" customWidth="1"/>
    <col min="17" max="17" width="24.28515625" style="34" bestFit="1" customWidth="1"/>
    <col min="18" max="18" width="9.5703125" style="77" bestFit="1" customWidth="1"/>
    <col min="19" max="19" width="13.7109375" style="77" bestFit="1" customWidth="1"/>
    <col min="20" max="20" width="14.140625" style="77" customWidth="1"/>
    <col min="21" max="21" width="12.5703125" style="77" bestFit="1" customWidth="1"/>
    <col min="22" max="22" width="9.140625" style="77"/>
    <col min="23" max="23" width="9.5703125" style="77" bestFit="1" customWidth="1"/>
    <col min="24" max="25" width="12.5703125" style="77" bestFit="1" customWidth="1"/>
    <col min="26" max="16384" width="9.140625" style="77"/>
  </cols>
  <sheetData>
    <row r="1" spans="1:27" ht="22.5">
      <c r="A1" s="321" t="s">
        <v>85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321"/>
      <c r="O1" s="321"/>
      <c r="P1" s="321"/>
      <c r="Q1" s="321"/>
    </row>
    <row r="2" spans="1:27" ht="22.5">
      <c r="A2" s="321" t="s">
        <v>51</v>
      </c>
      <c r="B2" s="321"/>
      <c r="C2" s="321"/>
      <c r="D2" s="321"/>
      <c r="E2" s="321"/>
      <c r="F2" s="321"/>
      <c r="G2" s="321"/>
      <c r="H2" s="321"/>
      <c r="I2" s="321"/>
      <c r="J2" s="321"/>
      <c r="K2" s="321"/>
      <c r="L2" s="321"/>
      <c r="M2" s="321"/>
      <c r="N2" s="321"/>
      <c r="O2" s="321"/>
      <c r="P2" s="321"/>
      <c r="Q2" s="321"/>
    </row>
    <row r="3" spans="1:27" ht="22.5">
      <c r="A3" s="321" t="str">
        <f>' سهام'!A3:W3</f>
        <v>برای ماه منتهی به 1403/02/31</v>
      </c>
      <c r="B3" s="321"/>
      <c r="C3" s="321"/>
      <c r="D3" s="321"/>
      <c r="E3" s="321"/>
      <c r="F3" s="321"/>
      <c r="G3" s="321"/>
      <c r="H3" s="321"/>
      <c r="I3" s="321"/>
      <c r="J3" s="321"/>
      <c r="K3" s="321"/>
      <c r="L3" s="321"/>
      <c r="M3" s="321"/>
      <c r="N3" s="321"/>
      <c r="O3" s="321"/>
      <c r="P3" s="321"/>
      <c r="Q3" s="321"/>
    </row>
    <row r="4" spans="1:27" ht="22.5">
      <c r="A4" s="239"/>
      <c r="B4" s="239"/>
      <c r="C4" s="239"/>
      <c r="D4" s="239"/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39"/>
      <c r="Q4" s="239"/>
    </row>
    <row r="5" spans="1:27" ht="22.5">
      <c r="A5" s="327" t="s">
        <v>59</v>
      </c>
      <c r="B5" s="327"/>
      <c r="C5" s="327"/>
      <c r="D5" s="327"/>
      <c r="E5" s="327"/>
      <c r="F5" s="327"/>
      <c r="G5" s="327"/>
      <c r="H5" s="327"/>
      <c r="I5" s="327"/>
      <c r="J5" s="328"/>
      <c r="K5" s="328"/>
      <c r="L5" s="328"/>
      <c r="M5" s="328"/>
      <c r="N5" s="328"/>
      <c r="O5" s="328"/>
      <c r="P5" s="328"/>
      <c r="Q5" s="328"/>
    </row>
    <row r="6" spans="1:27" ht="15.75" customHeight="1">
      <c r="A6" s="76"/>
      <c r="B6" s="76"/>
      <c r="C6" s="333" t="str" cm="1">
        <f t="array" ref="C6:G6">'سود اوراق بهادار'!B6:F6</f>
        <v>طی اردیبهشت ماه</v>
      </c>
      <c r="D6" s="333">
        <v>0</v>
      </c>
      <c r="E6" s="333">
        <v>0</v>
      </c>
      <c r="F6" s="333">
        <v>0</v>
      </c>
      <c r="G6" s="333">
        <v>0</v>
      </c>
      <c r="H6" s="333"/>
      <c r="I6" s="333"/>
      <c r="J6" s="2"/>
      <c r="K6" s="333" t="str" cm="1">
        <f t="array" ref="K6:O6">'سود اوراق بهادار'!H6:L6</f>
        <v>از ابتدای سال مالی تا پایان اردیبهشت ماه</v>
      </c>
      <c r="L6" s="333">
        <v>0</v>
      </c>
      <c r="M6" s="333">
        <v>0</v>
      </c>
      <c r="N6" s="333">
        <v>0</v>
      </c>
      <c r="O6" s="333">
        <v>0</v>
      </c>
      <c r="P6" s="333"/>
      <c r="Q6" s="333"/>
      <c r="Z6" s="97"/>
      <c r="AA6" s="97"/>
    </row>
    <row r="7" spans="1:27" ht="22.5" thickBot="1">
      <c r="A7" s="93" t="s">
        <v>33</v>
      </c>
      <c r="B7" s="93"/>
      <c r="C7" s="94" t="s">
        <v>3</v>
      </c>
      <c r="D7" s="93"/>
      <c r="E7" s="48" t="s">
        <v>40</v>
      </c>
      <c r="F7" s="49"/>
      <c r="G7" s="50" t="s">
        <v>37</v>
      </c>
      <c r="H7" s="49"/>
      <c r="I7" s="30" t="s">
        <v>41</v>
      </c>
      <c r="J7" s="2"/>
      <c r="K7" s="28" t="s">
        <v>3</v>
      </c>
      <c r="L7" s="29"/>
      <c r="M7" s="30" t="s">
        <v>18</v>
      </c>
      <c r="N7" s="29"/>
      <c r="O7" s="28" t="s">
        <v>37</v>
      </c>
      <c r="P7" s="29"/>
      <c r="Q7" s="31" t="s">
        <v>41</v>
      </c>
      <c r="Z7" s="97"/>
      <c r="AA7" s="97"/>
    </row>
    <row r="8" spans="1:27" ht="21.75">
      <c r="A8" s="77" t="s">
        <v>103</v>
      </c>
      <c r="B8" s="93"/>
      <c r="C8" s="58">
        <f>IFERROR(VLOOKUP(A8,' سهام'!$A$11:$M$32,12,0),0)</f>
        <v>0</v>
      </c>
      <c r="D8" s="93"/>
      <c r="E8" s="58">
        <f>IFERROR(VLOOKUP(A8,' سهام'!$A$11:$M$32,13,0),0)</f>
        <v>0</v>
      </c>
      <c r="F8" s="49"/>
      <c r="G8" s="51">
        <v>0</v>
      </c>
      <c r="H8" s="49"/>
      <c r="I8" s="51">
        <f>E8-G8</f>
        <v>0</v>
      </c>
      <c r="J8" s="2"/>
      <c r="K8" s="51">
        <v>46180</v>
      </c>
      <c r="L8" s="29"/>
      <c r="M8" s="51">
        <v>1122218856</v>
      </c>
      <c r="N8" s="29"/>
      <c r="O8" s="51">
        <v>1057809459</v>
      </c>
      <c r="P8" s="29"/>
      <c r="Q8" s="51">
        <f>M8-O8</f>
        <v>64409397</v>
      </c>
      <c r="R8" s="81"/>
      <c r="T8" s="81"/>
      <c r="U8" s="81"/>
      <c r="X8" s="81"/>
      <c r="Y8" s="81"/>
      <c r="Z8" s="97"/>
      <c r="AA8" s="97"/>
    </row>
    <row r="9" spans="1:27" ht="21.75">
      <c r="A9" s="77" t="s">
        <v>89</v>
      </c>
      <c r="B9" s="93"/>
      <c r="C9" s="58">
        <f>IFERROR(VLOOKUP(A9,' سهام'!$A$11:$M$32,12,0),0)</f>
        <v>126401</v>
      </c>
      <c r="D9" s="93"/>
      <c r="E9" s="58">
        <f>IFERROR(VLOOKUP(A9,' سهام'!$A$11:$M$32,13,0),0)</f>
        <v>2396455475</v>
      </c>
      <c r="F9" s="49"/>
      <c r="G9" s="51">
        <v>2196277058</v>
      </c>
      <c r="H9" s="49"/>
      <c r="I9" s="51">
        <f t="shared" ref="I9:I37" si="0">E9-G9</f>
        <v>200178417</v>
      </c>
      <c r="J9" s="2"/>
      <c r="K9" s="51">
        <v>695895</v>
      </c>
      <c r="L9" s="29"/>
      <c r="M9" s="51">
        <v>11971754980</v>
      </c>
      <c r="N9" s="29"/>
      <c r="O9" s="51">
        <v>11606801991</v>
      </c>
      <c r="P9" s="29"/>
      <c r="Q9" s="51">
        <f t="shared" ref="Q9:Q37" si="1">M9-O9</f>
        <v>364952989</v>
      </c>
      <c r="R9" s="81"/>
      <c r="T9" s="81"/>
      <c r="U9" s="81"/>
      <c r="X9" s="81"/>
      <c r="Y9" s="81"/>
      <c r="Z9" s="97"/>
      <c r="AA9" s="97"/>
    </row>
    <row r="10" spans="1:27" ht="21.75">
      <c r="A10" s="77" t="s">
        <v>93</v>
      </c>
      <c r="B10" s="93"/>
      <c r="C10" s="58">
        <f>IFERROR(VLOOKUP(A10,' سهام'!$A$11:$M$32,12,0),0)</f>
        <v>188774</v>
      </c>
      <c r="D10" s="93"/>
      <c r="E10" s="58">
        <f>IFERROR(VLOOKUP(A10,' سهام'!$A$11:$M$32,13,0),0)</f>
        <v>632869540</v>
      </c>
      <c r="F10" s="49"/>
      <c r="G10" s="51">
        <v>724792173</v>
      </c>
      <c r="H10" s="49"/>
      <c r="I10" s="51">
        <f t="shared" si="0"/>
        <v>-91922633</v>
      </c>
      <c r="J10" s="2"/>
      <c r="K10" s="51">
        <v>1651296</v>
      </c>
      <c r="L10" s="29"/>
      <c r="M10" s="51">
        <v>6002670372</v>
      </c>
      <c r="N10" s="29"/>
      <c r="O10" s="51">
        <v>6413257013</v>
      </c>
      <c r="P10" s="29"/>
      <c r="Q10" s="51">
        <f t="shared" si="1"/>
        <v>-410586641</v>
      </c>
      <c r="R10" s="81"/>
      <c r="T10" s="81"/>
      <c r="U10" s="81"/>
      <c r="X10" s="81"/>
      <c r="Y10" s="81"/>
    </row>
    <row r="11" spans="1:27" ht="21.75">
      <c r="A11" s="77" t="s">
        <v>92</v>
      </c>
      <c r="B11" s="93"/>
      <c r="C11" s="58">
        <f>IFERROR(VLOOKUP(A11,' سهام'!$A$11:$M$32,12,0),0)</f>
        <v>465939</v>
      </c>
      <c r="D11" s="93"/>
      <c r="E11" s="58">
        <f>IFERROR(VLOOKUP(A11,' سهام'!$A$11:$M$32,13,0),0)</f>
        <v>3539292679</v>
      </c>
      <c r="F11" s="49"/>
      <c r="G11" s="51">
        <v>3138447979</v>
      </c>
      <c r="H11" s="49"/>
      <c r="I11" s="51">
        <f t="shared" si="0"/>
        <v>400844700</v>
      </c>
      <c r="J11" s="2"/>
      <c r="K11" s="51">
        <v>750692</v>
      </c>
      <c r="L11" s="29"/>
      <c r="M11" s="51">
        <v>7847495939</v>
      </c>
      <c r="N11" s="29"/>
      <c r="O11" s="51">
        <v>7342992326</v>
      </c>
      <c r="P11" s="29"/>
      <c r="Q11" s="51">
        <f t="shared" si="1"/>
        <v>504503613</v>
      </c>
      <c r="R11" s="81"/>
      <c r="S11" s="51"/>
      <c r="T11" s="81"/>
      <c r="U11" s="81"/>
      <c r="X11" s="81"/>
      <c r="Y11" s="81"/>
    </row>
    <row r="12" spans="1:27" ht="21.75">
      <c r="A12" s="77" t="s">
        <v>90</v>
      </c>
      <c r="B12" s="93"/>
      <c r="C12" s="58">
        <f>IFERROR(VLOOKUP(A12,' سهام'!$A$11:$M$32,12,0),0)</f>
        <v>32937</v>
      </c>
      <c r="D12" s="93"/>
      <c r="E12" s="58">
        <f>IFERROR(VLOOKUP(A12,' سهام'!$A$11:$M$32,13,0),0)</f>
        <v>1696651760</v>
      </c>
      <c r="F12" s="49"/>
      <c r="G12" s="51">
        <v>1459635464</v>
      </c>
      <c r="H12" s="49"/>
      <c r="I12" s="51">
        <f t="shared" si="0"/>
        <v>237016296</v>
      </c>
      <c r="J12" s="2"/>
      <c r="K12" s="51">
        <v>185830</v>
      </c>
      <c r="L12" s="29"/>
      <c r="M12" s="51">
        <v>8462160197</v>
      </c>
      <c r="N12" s="29"/>
      <c r="O12" s="51">
        <v>8203367598</v>
      </c>
      <c r="P12" s="29"/>
      <c r="Q12" s="51">
        <f t="shared" si="1"/>
        <v>258792599</v>
      </c>
      <c r="R12" s="81"/>
      <c r="S12" s="51"/>
      <c r="T12" s="81"/>
      <c r="U12" s="81"/>
      <c r="X12" s="81"/>
      <c r="Y12" s="81"/>
    </row>
    <row r="13" spans="1:27" ht="21.75">
      <c r="A13" s="77" t="s">
        <v>86</v>
      </c>
      <c r="B13" s="93"/>
      <c r="C13" s="58">
        <f>IFERROR(VLOOKUP(A13,' سهام'!$A$11:$M$32,12,0),0)</f>
        <v>0</v>
      </c>
      <c r="D13" s="93"/>
      <c r="E13" s="58">
        <f>IFERROR(VLOOKUP(A13,' سهام'!$A$11:$M$32,13,0),0)</f>
        <v>0</v>
      </c>
      <c r="F13" s="49"/>
      <c r="G13" s="51">
        <v>0</v>
      </c>
      <c r="H13" s="49"/>
      <c r="I13" s="51">
        <f t="shared" si="0"/>
        <v>0</v>
      </c>
      <c r="J13" s="2"/>
      <c r="K13" s="51">
        <v>1009256</v>
      </c>
      <c r="L13" s="29"/>
      <c r="M13" s="51">
        <v>11498596299</v>
      </c>
      <c r="N13" s="29"/>
      <c r="O13" s="51">
        <v>10573483899</v>
      </c>
      <c r="P13" s="29"/>
      <c r="Q13" s="51">
        <f t="shared" si="1"/>
        <v>925112400</v>
      </c>
      <c r="R13" s="81"/>
      <c r="S13" s="51"/>
      <c r="T13" s="81"/>
      <c r="U13" s="81"/>
      <c r="X13" s="81"/>
      <c r="Y13" s="81"/>
    </row>
    <row r="14" spans="1:27" ht="21.75">
      <c r="A14" s="77" t="s">
        <v>100</v>
      </c>
      <c r="B14" s="93"/>
      <c r="C14" s="58">
        <f>IFERROR(VLOOKUP(A14,' سهام'!$A$11:$M$32,12,0),0)</f>
        <v>0</v>
      </c>
      <c r="D14" s="93"/>
      <c r="E14" s="58">
        <f>IFERROR(VLOOKUP(A14,' سهام'!$A$11:$M$32,13,0),0)</f>
        <v>0</v>
      </c>
      <c r="F14" s="49"/>
      <c r="G14" s="51">
        <v>0</v>
      </c>
      <c r="H14" s="49"/>
      <c r="I14" s="51">
        <f t="shared" si="0"/>
        <v>0</v>
      </c>
      <c r="J14" s="2"/>
      <c r="K14" s="51">
        <v>51632</v>
      </c>
      <c r="L14" s="29"/>
      <c r="M14" s="51">
        <v>1395221188</v>
      </c>
      <c r="N14" s="29"/>
      <c r="O14" s="51">
        <v>1119596477</v>
      </c>
      <c r="P14" s="29"/>
      <c r="Q14" s="51">
        <f t="shared" si="1"/>
        <v>275624711</v>
      </c>
      <c r="R14" s="81"/>
      <c r="T14" s="81"/>
      <c r="U14" s="81"/>
      <c r="X14" s="81"/>
      <c r="Y14" s="81"/>
    </row>
    <row r="15" spans="1:27" ht="21.75">
      <c r="A15" s="77" t="s">
        <v>88</v>
      </c>
      <c r="B15" s="93"/>
      <c r="C15" s="58">
        <f>IFERROR(VLOOKUP(A15,' سهام'!$A$11:$M$32,12,0),0)</f>
        <v>31306</v>
      </c>
      <c r="D15" s="93"/>
      <c r="E15" s="58">
        <f>IFERROR(VLOOKUP(A15,' سهام'!$A$11:$M$32,13,0),0)</f>
        <v>601365562</v>
      </c>
      <c r="F15" s="49"/>
      <c r="G15" s="51">
        <v>580181032</v>
      </c>
      <c r="H15" s="49"/>
      <c r="I15" s="51">
        <f t="shared" si="0"/>
        <v>21184530</v>
      </c>
      <c r="J15" s="2"/>
      <c r="K15" s="51">
        <v>219025</v>
      </c>
      <c r="L15" s="29"/>
      <c r="M15" s="51">
        <v>3929687863</v>
      </c>
      <c r="N15" s="29"/>
      <c r="O15" s="51">
        <v>4110074736</v>
      </c>
      <c r="P15" s="29"/>
      <c r="Q15" s="51">
        <f t="shared" si="1"/>
        <v>-180386873</v>
      </c>
      <c r="R15" s="81"/>
      <c r="T15" s="81"/>
      <c r="U15" s="81"/>
      <c r="X15" s="81"/>
      <c r="Y15" s="81"/>
    </row>
    <row r="16" spans="1:27" ht="21.75">
      <c r="A16" s="77" t="s">
        <v>91</v>
      </c>
      <c r="B16" s="93"/>
      <c r="C16" s="58">
        <f>IFERROR(VLOOKUP(A16,' سهام'!$A$11:$M$32,12,0),0)</f>
        <v>81785</v>
      </c>
      <c r="D16" s="93"/>
      <c r="E16" s="58">
        <f>IFERROR(VLOOKUP(A16,' سهام'!$A$11:$M$32,13,0),0)</f>
        <v>703320511</v>
      </c>
      <c r="F16" s="49"/>
      <c r="G16" s="51">
        <v>702149851</v>
      </c>
      <c r="H16" s="49"/>
      <c r="I16" s="51">
        <f t="shared" si="0"/>
        <v>1170660</v>
      </c>
      <c r="J16" s="2"/>
      <c r="K16" s="51">
        <v>164404</v>
      </c>
      <c r="L16" s="29"/>
      <c r="M16" s="51">
        <v>1604123294</v>
      </c>
      <c r="N16" s="29"/>
      <c r="O16" s="51">
        <v>1581955338</v>
      </c>
      <c r="P16" s="29"/>
      <c r="Q16" s="51">
        <f t="shared" si="1"/>
        <v>22167956</v>
      </c>
      <c r="R16" s="81"/>
      <c r="T16" s="81"/>
      <c r="U16" s="81"/>
      <c r="X16" s="81"/>
      <c r="Y16" s="81"/>
    </row>
    <row r="17" spans="1:25" ht="21.75">
      <c r="A17" s="77" t="s">
        <v>87</v>
      </c>
      <c r="B17" s="93"/>
      <c r="C17" s="58">
        <f>IFERROR(VLOOKUP(A17,' سهام'!$A$11:$M$32,12,0),0)</f>
        <v>0</v>
      </c>
      <c r="D17" s="93"/>
      <c r="E17" s="58">
        <f>IFERROR(VLOOKUP(A17,' سهام'!$A$11:$M$32,13,0),0)</f>
        <v>0</v>
      </c>
      <c r="F17" s="49"/>
      <c r="G17" s="51">
        <v>0</v>
      </c>
      <c r="H17" s="49"/>
      <c r="I17" s="51">
        <f t="shared" si="0"/>
        <v>0</v>
      </c>
      <c r="J17" s="2"/>
      <c r="K17" s="51">
        <v>550039</v>
      </c>
      <c r="L17" s="29"/>
      <c r="M17" s="51">
        <v>12354115059</v>
      </c>
      <c r="N17" s="29"/>
      <c r="O17" s="51">
        <v>11186837847</v>
      </c>
      <c r="P17" s="29"/>
      <c r="Q17" s="51">
        <f t="shared" si="1"/>
        <v>1167277212</v>
      </c>
      <c r="R17" s="81"/>
      <c r="T17" s="81"/>
      <c r="U17" s="81"/>
      <c r="X17" s="81"/>
      <c r="Y17" s="81"/>
    </row>
    <row r="18" spans="1:25" ht="21.75">
      <c r="A18" s="77" t="s">
        <v>111</v>
      </c>
      <c r="B18" s="93"/>
      <c r="C18" s="58">
        <f>IFERROR(VLOOKUP(A18,' سهام'!$A$11:$M$32,12,0),0)</f>
        <v>1703424</v>
      </c>
      <c r="D18" s="93"/>
      <c r="E18" s="58">
        <f>IFERROR(VLOOKUP(A18,' سهام'!$A$11:$M$32,13,0),0)</f>
        <v>4681306870</v>
      </c>
      <c r="F18" s="49"/>
      <c r="G18" s="51">
        <v>5278042086</v>
      </c>
      <c r="H18" s="49"/>
      <c r="I18" s="51">
        <f t="shared" si="0"/>
        <v>-596735216</v>
      </c>
      <c r="J18" s="2"/>
      <c r="K18" s="51">
        <v>1953508</v>
      </c>
      <c r="L18" s="29"/>
      <c r="M18" s="51">
        <v>5462031385</v>
      </c>
      <c r="N18" s="29"/>
      <c r="O18" s="51">
        <v>6048990238</v>
      </c>
      <c r="P18" s="29"/>
      <c r="Q18" s="51">
        <f t="shared" si="1"/>
        <v>-586958853</v>
      </c>
      <c r="R18" s="81"/>
      <c r="T18" s="81"/>
      <c r="U18" s="81"/>
      <c r="X18" s="81"/>
      <c r="Y18" s="81"/>
    </row>
    <row r="19" spans="1:25" ht="21.75">
      <c r="A19" s="77" t="s">
        <v>99</v>
      </c>
      <c r="B19" s="93"/>
      <c r="C19" s="58">
        <f>IFERROR(VLOOKUP(A19,' سهام'!$A$11:$M$32,12,0),0)</f>
        <v>0</v>
      </c>
      <c r="D19" s="93"/>
      <c r="E19" s="58">
        <f>IFERROR(VLOOKUP(A19,' سهام'!$A$11:$M$32,13,0),0)</f>
        <v>0</v>
      </c>
      <c r="F19" s="49"/>
      <c r="G19" s="51">
        <v>0</v>
      </c>
      <c r="H19" s="49"/>
      <c r="I19" s="51">
        <f t="shared" si="0"/>
        <v>0</v>
      </c>
      <c r="J19" s="2"/>
      <c r="K19" s="51">
        <v>397342</v>
      </c>
      <c r="L19" s="29"/>
      <c r="M19" s="51">
        <v>5619181440</v>
      </c>
      <c r="N19" s="29"/>
      <c r="O19" s="51">
        <v>5383547622</v>
      </c>
      <c r="P19" s="29"/>
      <c r="Q19" s="51">
        <f t="shared" si="1"/>
        <v>235633818</v>
      </c>
      <c r="R19" s="81"/>
      <c r="X19" s="81"/>
      <c r="Y19" s="81"/>
    </row>
    <row r="20" spans="1:25" ht="21.75">
      <c r="A20" s="77" t="s">
        <v>101</v>
      </c>
      <c r="B20" s="93"/>
      <c r="C20" s="58">
        <f>IFERROR(VLOOKUP(A20,' سهام'!$A$11:$M$32,12,0),0)</f>
        <v>18047</v>
      </c>
      <c r="D20" s="93"/>
      <c r="E20" s="58">
        <f>IFERROR(VLOOKUP(A20,' سهام'!$A$11:$M$32,13,0),0)</f>
        <v>299810206</v>
      </c>
      <c r="F20" s="49"/>
      <c r="G20" s="51">
        <v>265018628</v>
      </c>
      <c r="H20" s="49"/>
      <c r="I20" s="51">
        <f t="shared" si="0"/>
        <v>34791578</v>
      </c>
      <c r="J20" s="2"/>
      <c r="K20" s="51">
        <v>157022</v>
      </c>
      <c r="L20" s="29"/>
      <c r="M20" s="51">
        <v>2576720061</v>
      </c>
      <c r="N20" s="29"/>
      <c r="O20" s="51">
        <v>2274507427</v>
      </c>
      <c r="P20" s="29"/>
      <c r="Q20" s="51">
        <f t="shared" si="1"/>
        <v>302212634</v>
      </c>
      <c r="R20" s="81"/>
      <c r="X20" s="81"/>
      <c r="Y20" s="81"/>
    </row>
    <row r="21" spans="1:25" ht="21.75">
      <c r="A21" s="77" t="s">
        <v>98</v>
      </c>
      <c r="B21" s="93"/>
      <c r="C21" s="58">
        <f>IFERROR(VLOOKUP(A21,' سهام'!$A$11:$M$32,12,0),0)</f>
        <v>0</v>
      </c>
      <c r="D21" s="93"/>
      <c r="E21" s="58">
        <f>IFERROR(VLOOKUP(A21,' سهام'!$A$11:$M$32,13,0),0)</f>
        <v>0</v>
      </c>
      <c r="F21" s="49"/>
      <c r="G21" s="51">
        <v>0</v>
      </c>
      <c r="H21" s="49"/>
      <c r="I21" s="51">
        <f t="shared" si="0"/>
        <v>0</v>
      </c>
      <c r="J21" s="2"/>
      <c r="K21" s="51">
        <v>14840979</v>
      </c>
      <c r="L21" s="29"/>
      <c r="M21" s="51">
        <v>76207760308</v>
      </c>
      <c r="N21" s="29"/>
      <c r="O21" s="51">
        <v>71388225970</v>
      </c>
      <c r="P21" s="29"/>
      <c r="Q21" s="51">
        <f t="shared" si="1"/>
        <v>4819534338</v>
      </c>
      <c r="R21" s="81"/>
      <c r="T21" s="81"/>
      <c r="X21" s="81"/>
      <c r="Y21" s="81"/>
    </row>
    <row r="22" spans="1:25" ht="21.75">
      <c r="A22" s="77" t="s">
        <v>104</v>
      </c>
      <c r="B22" s="93"/>
      <c r="C22" s="58">
        <f>IFERROR(VLOOKUP(A22,' سهام'!$A$11:$M$32,12,0),0)</f>
        <v>0</v>
      </c>
      <c r="D22" s="93"/>
      <c r="E22" s="58">
        <f>IFERROR(VLOOKUP(A22,' سهام'!$A$11:$M$32,13,0),0)</f>
        <v>0</v>
      </c>
      <c r="F22" s="49"/>
      <c r="G22" s="51">
        <v>0</v>
      </c>
      <c r="H22" s="49"/>
      <c r="I22" s="51">
        <f t="shared" si="0"/>
        <v>0</v>
      </c>
      <c r="J22" s="2"/>
      <c r="K22" s="51">
        <v>4559</v>
      </c>
      <c r="L22" s="29"/>
      <c r="M22" s="51">
        <v>111655142</v>
      </c>
      <c r="N22" s="29"/>
      <c r="O22" s="51">
        <v>119550839</v>
      </c>
      <c r="P22" s="29"/>
      <c r="Q22" s="51">
        <f t="shared" si="1"/>
        <v>-7895697</v>
      </c>
      <c r="R22" s="81"/>
      <c r="X22" s="81"/>
      <c r="Y22" s="81"/>
    </row>
    <row r="23" spans="1:25" ht="21.75">
      <c r="A23" s="77" t="s">
        <v>102</v>
      </c>
      <c r="B23" s="93"/>
      <c r="C23" s="58">
        <f>IFERROR(VLOOKUP(A23,' سهام'!$A$11:$M$32,12,0),0)</f>
        <v>0</v>
      </c>
      <c r="D23" s="93"/>
      <c r="E23" s="58">
        <f>IFERROR(VLOOKUP(A23,' سهام'!$A$11:$M$32,13,0),0)</f>
        <v>0</v>
      </c>
      <c r="F23" s="49"/>
      <c r="G23" s="51">
        <v>0</v>
      </c>
      <c r="H23" s="49"/>
      <c r="I23" s="51">
        <f t="shared" si="0"/>
        <v>0</v>
      </c>
      <c r="J23" s="2"/>
      <c r="K23" s="51">
        <v>7881</v>
      </c>
      <c r="L23" s="29"/>
      <c r="M23" s="51">
        <v>722013777</v>
      </c>
      <c r="N23" s="29"/>
      <c r="O23" s="51">
        <v>627198694</v>
      </c>
      <c r="P23" s="29"/>
      <c r="Q23" s="51">
        <f t="shared" si="1"/>
        <v>94815083</v>
      </c>
      <c r="R23" s="81"/>
      <c r="T23" s="81"/>
      <c r="X23" s="81"/>
      <c r="Y23" s="81"/>
    </row>
    <row r="24" spans="1:25" ht="21.75">
      <c r="A24" s="77" t="s">
        <v>97</v>
      </c>
      <c r="B24" s="93"/>
      <c r="C24" s="58">
        <f>IFERROR(VLOOKUP(A24,' سهام'!$A$11:$M$32,12,0),0)</f>
        <v>0</v>
      </c>
      <c r="D24" s="93"/>
      <c r="E24" s="58">
        <f>IFERROR(VLOOKUP(A24,' سهام'!$A$11:$M$32,13,0),0)</f>
        <v>0</v>
      </c>
      <c r="F24" s="49"/>
      <c r="G24" s="51">
        <v>0</v>
      </c>
      <c r="H24" s="49"/>
      <c r="I24" s="51">
        <f t="shared" si="0"/>
        <v>0</v>
      </c>
      <c r="J24" s="2"/>
      <c r="K24" s="51">
        <v>23921</v>
      </c>
      <c r="L24" s="29"/>
      <c r="M24" s="51">
        <v>783339467</v>
      </c>
      <c r="N24" s="29"/>
      <c r="O24" s="51">
        <v>679080022</v>
      </c>
      <c r="P24" s="29"/>
      <c r="Q24" s="51">
        <f t="shared" si="1"/>
        <v>104259445</v>
      </c>
      <c r="R24" s="81"/>
      <c r="T24" s="81"/>
      <c r="X24" s="81"/>
      <c r="Y24" s="81"/>
    </row>
    <row r="25" spans="1:25" ht="21.75">
      <c r="A25" s="77" t="s">
        <v>105</v>
      </c>
      <c r="B25" s="93"/>
      <c r="C25" s="58">
        <f>IFERROR(VLOOKUP(A25,' سهام'!$A$11:$M$32,12,0),0)</f>
        <v>0</v>
      </c>
      <c r="D25" s="93"/>
      <c r="E25" s="58">
        <f>IFERROR(VLOOKUP(A25,' سهام'!$A$11:$M$32,13,0),0)</f>
        <v>0</v>
      </c>
      <c r="F25" s="49"/>
      <c r="G25" s="51">
        <v>0</v>
      </c>
      <c r="H25" s="49"/>
      <c r="I25" s="51">
        <f t="shared" si="0"/>
        <v>0</v>
      </c>
      <c r="J25" s="2"/>
      <c r="K25" s="51">
        <v>5650000</v>
      </c>
      <c r="L25" s="29"/>
      <c r="M25" s="51">
        <v>30879904020</v>
      </c>
      <c r="N25" s="29"/>
      <c r="O25" s="51">
        <v>30272301675</v>
      </c>
      <c r="P25" s="29"/>
      <c r="Q25" s="51">
        <f t="shared" si="1"/>
        <v>607602345</v>
      </c>
      <c r="R25" s="81"/>
      <c r="X25" s="81"/>
      <c r="Y25" s="81"/>
    </row>
    <row r="26" spans="1:25" ht="21.75">
      <c r="A26" s="77" t="s">
        <v>110</v>
      </c>
      <c r="B26" s="93"/>
      <c r="C26" s="58">
        <f>IFERROR(VLOOKUP(A26,' سهام'!$A$11:$M$32,12,0),0)</f>
        <v>0</v>
      </c>
      <c r="D26" s="93"/>
      <c r="E26" s="58">
        <f>IFERROR(VLOOKUP(A26,' سهام'!$A$11:$M$32,13,0),0)</f>
        <v>0</v>
      </c>
      <c r="F26" s="49"/>
      <c r="G26" s="51">
        <v>0</v>
      </c>
      <c r="H26" s="49"/>
      <c r="I26" s="51">
        <f t="shared" si="0"/>
        <v>0</v>
      </c>
      <c r="J26" s="2"/>
      <c r="K26" s="51">
        <v>93230</v>
      </c>
      <c r="L26" s="29"/>
      <c r="M26" s="51">
        <v>794491642</v>
      </c>
      <c r="N26" s="29"/>
      <c r="O26" s="51">
        <v>756829748</v>
      </c>
      <c r="P26" s="29"/>
      <c r="Q26" s="51">
        <f t="shared" si="1"/>
        <v>37661894</v>
      </c>
      <c r="R26" s="81"/>
      <c r="X26" s="81"/>
      <c r="Y26" s="81"/>
    </row>
    <row r="27" spans="1:25" ht="21.75">
      <c r="A27" s="77" t="s">
        <v>123</v>
      </c>
      <c r="B27" s="93"/>
      <c r="C27" s="58">
        <f>IFERROR(VLOOKUP(A27,' سهام'!$A$11:$M$32,12,0),0)</f>
        <v>54116</v>
      </c>
      <c r="D27" s="93"/>
      <c r="E27" s="58">
        <f>IFERROR(VLOOKUP(A27,' سهام'!$A$11:$M$32,13,0),0)</f>
        <v>701541144</v>
      </c>
      <c r="F27" s="49"/>
      <c r="G27" s="51">
        <v>703645688</v>
      </c>
      <c r="H27" s="49"/>
      <c r="I27" s="51">
        <f t="shared" si="0"/>
        <v>-2104544</v>
      </c>
      <c r="J27" s="2"/>
      <c r="K27" s="51">
        <v>99286</v>
      </c>
      <c r="L27" s="29"/>
      <c r="M27" s="51">
        <v>1267457996</v>
      </c>
      <c r="N27" s="29"/>
      <c r="O27" s="51">
        <v>1293836719</v>
      </c>
      <c r="P27" s="29"/>
      <c r="Q27" s="51">
        <f t="shared" si="1"/>
        <v>-26378723</v>
      </c>
      <c r="R27" s="81"/>
      <c r="X27" s="81"/>
      <c r="Y27" s="81"/>
    </row>
    <row r="28" spans="1:25" ht="21.75">
      <c r="A28" s="77" t="s">
        <v>126</v>
      </c>
      <c r="B28" s="93"/>
      <c r="C28" s="58">
        <f>IFERROR(VLOOKUP(A28,' سهام'!$A$11:$M$32,12,0),0)</f>
        <v>940240</v>
      </c>
      <c r="D28" s="93"/>
      <c r="E28" s="58">
        <f>IFERROR(VLOOKUP(A28,' سهام'!$A$11:$M$32,13,0),0)</f>
        <v>1002330747</v>
      </c>
      <c r="F28" s="49"/>
      <c r="G28" s="51">
        <v>1130854893</v>
      </c>
      <c r="H28" s="49"/>
      <c r="I28" s="51">
        <f t="shared" si="0"/>
        <v>-128524146</v>
      </c>
      <c r="J28" s="2"/>
      <c r="K28" s="51">
        <v>2230054</v>
      </c>
      <c r="L28" s="29"/>
      <c r="M28" s="51">
        <v>2494925293</v>
      </c>
      <c r="N28" s="29"/>
      <c r="O28" s="51">
        <v>2684130993</v>
      </c>
      <c r="P28" s="29"/>
      <c r="Q28" s="51">
        <f t="shared" si="1"/>
        <v>-189205700</v>
      </c>
      <c r="R28" s="81"/>
      <c r="X28" s="81"/>
      <c r="Y28" s="81"/>
    </row>
    <row r="29" spans="1:25" ht="21.75">
      <c r="A29" s="77" t="s">
        <v>128</v>
      </c>
      <c r="B29" s="93"/>
      <c r="C29" s="58">
        <f>IFERROR(VLOOKUP(A29,' سهام'!$A$11:$M$32,12,0),0)</f>
        <v>0</v>
      </c>
      <c r="D29" s="93"/>
      <c r="E29" s="58">
        <f>IFERROR(VLOOKUP(A29,' سهام'!$A$11:$M$32,13,0),0)</f>
        <v>0</v>
      </c>
      <c r="F29" s="49"/>
      <c r="G29" s="51">
        <v>0</v>
      </c>
      <c r="H29" s="49"/>
      <c r="I29" s="51">
        <f t="shared" si="0"/>
        <v>0</v>
      </c>
      <c r="J29" s="2"/>
      <c r="K29" s="51">
        <v>200000</v>
      </c>
      <c r="L29" s="29"/>
      <c r="M29" s="51">
        <v>2401624842</v>
      </c>
      <c r="N29" s="29"/>
      <c r="O29" s="51">
        <v>1691534520</v>
      </c>
      <c r="P29" s="29"/>
      <c r="Q29" s="51">
        <f t="shared" si="1"/>
        <v>710090322</v>
      </c>
      <c r="R29" s="81"/>
      <c r="X29" s="81"/>
      <c r="Y29" s="81"/>
    </row>
    <row r="30" spans="1:25" ht="21.75">
      <c r="A30" s="77" t="s">
        <v>124</v>
      </c>
      <c r="B30" s="93"/>
      <c r="C30" s="58">
        <f>IFERROR(VLOOKUP(A30,' سهام'!$A$11:$M$32,12,0),0)</f>
        <v>80290</v>
      </c>
      <c r="D30" s="93"/>
      <c r="E30" s="58">
        <f>IFERROR(VLOOKUP(A30,' سهام'!$A$11:$M$32,13,0),0)</f>
        <v>1514604709</v>
      </c>
      <c r="F30" s="49"/>
      <c r="G30" s="51">
        <v>1660833335</v>
      </c>
      <c r="H30" s="49"/>
      <c r="I30" s="51">
        <f t="shared" si="0"/>
        <v>-146228626</v>
      </c>
      <c r="J30" s="2"/>
      <c r="K30" s="51">
        <v>380290</v>
      </c>
      <c r="L30" s="29"/>
      <c r="M30" s="51">
        <v>10453283213</v>
      </c>
      <c r="N30" s="29"/>
      <c r="O30" s="51">
        <v>7866462935</v>
      </c>
      <c r="P30" s="29"/>
      <c r="Q30" s="51">
        <f t="shared" si="1"/>
        <v>2586820278</v>
      </c>
      <c r="R30" s="81"/>
      <c r="X30" s="81"/>
      <c r="Y30" s="81"/>
    </row>
    <row r="31" spans="1:25" ht="21.75">
      <c r="A31" s="77" t="s">
        <v>127</v>
      </c>
      <c r="B31" s="93"/>
      <c r="C31" s="58">
        <f>IFERROR(VLOOKUP(A31,' سهام'!$A$11:$M$32,12,0),0)</f>
        <v>0</v>
      </c>
      <c r="D31" s="93"/>
      <c r="E31" s="58">
        <f>IFERROR(VLOOKUP(A31,' سهام'!$A$11:$M$32,13,0),0)</f>
        <v>0</v>
      </c>
      <c r="F31" s="49"/>
      <c r="G31" s="51">
        <v>0</v>
      </c>
      <c r="H31" s="49"/>
      <c r="I31" s="51">
        <f t="shared" si="0"/>
        <v>0</v>
      </c>
      <c r="J31" s="2"/>
      <c r="K31" s="51">
        <v>114500</v>
      </c>
      <c r="L31" s="29"/>
      <c r="M31" s="51">
        <v>9197157308</v>
      </c>
      <c r="N31" s="29"/>
      <c r="O31" s="51">
        <v>7563861753</v>
      </c>
      <c r="P31" s="29"/>
      <c r="Q31" s="51">
        <f t="shared" si="1"/>
        <v>1633295555</v>
      </c>
      <c r="R31" s="81"/>
      <c r="X31" s="81"/>
      <c r="Y31" s="81"/>
    </row>
    <row r="32" spans="1:25" ht="21.75">
      <c r="A32" s="77" t="s">
        <v>125</v>
      </c>
      <c r="B32" s="93"/>
      <c r="C32" s="58">
        <f>IFERROR(VLOOKUP(A32,' سهام'!$A$11:$M$32,12,0),0)</f>
        <v>0</v>
      </c>
      <c r="D32" s="93"/>
      <c r="E32" s="58">
        <f>IFERROR(VLOOKUP(A32,' سهام'!$A$11:$M$32,13,0),0)</f>
        <v>0</v>
      </c>
      <c r="F32" s="49"/>
      <c r="G32" s="51">
        <v>0</v>
      </c>
      <c r="H32" s="49"/>
      <c r="I32" s="51">
        <f t="shared" si="0"/>
        <v>0</v>
      </c>
      <c r="J32" s="2"/>
      <c r="K32" s="51">
        <v>7426</v>
      </c>
      <c r="L32" s="29"/>
      <c r="M32" s="51">
        <v>158738837</v>
      </c>
      <c r="N32" s="29"/>
      <c r="O32" s="51">
        <v>128331099</v>
      </c>
      <c r="P32" s="29"/>
      <c r="Q32" s="51">
        <f t="shared" si="1"/>
        <v>30407738</v>
      </c>
      <c r="R32" s="81"/>
      <c r="X32" s="81"/>
      <c r="Y32" s="81"/>
    </row>
    <row r="33" spans="1:25" ht="21.75">
      <c r="A33" s="77" t="s">
        <v>142</v>
      </c>
      <c r="B33" s="93"/>
      <c r="C33" s="58">
        <f>IFERROR(VLOOKUP(A33,' سهام'!$A$11:$M$32,12,0),0)</f>
        <v>0</v>
      </c>
      <c r="D33" s="93"/>
      <c r="E33" s="58">
        <f>IFERROR(VLOOKUP(A33,' سهام'!$A$11:$M$32,13,0),0)</f>
        <v>0</v>
      </c>
      <c r="F33" s="49"/>
      <c r="G33" s="51">
        <v>0</v>
      </c>
      <c r="H33" s="49"/>
      <c r="I33" s="51">
        <f t="shared" si="0"/>
        <v>0</v>
      </c>
      <c r="J33" s="2"/>
      <c r="K33" s="51">
        <v>9401</v>
      </c>
      <c r="L33" s="29"/>
      <c r="M33" s="51">
        <v>175530235</v>
      </c>
      <c r="N33" s="29"/>
      <c r="O33" s="51">
        <v>182673364</v>
      </c>
      <c r="P33" s="29"/>
      <c r="Q33" s="51">
        <f t="shared" si="1"/>
        <v>-7143129</v>
      </c>
      <c r="R33" s="81"/>
      <c r="X33" s="81"/>
      <c r="Y33" s="81"/>
    </row>
    <row r="34" spans="1:25" ht="21.75">
      <c r="A34" s="77" t="s">
        <v>152</v>
      </c>
      <c r="B34" s="93"/>
      <c r="C34" s="58">
        <f>IFERROR(VLOOKUP(A34,' سهام'!$A$11:$M$32,12,0),0)</f>
        <v>0</v>
      </c>
      <c r="D34" s="93"/>
      <c r="E34" s="58">
        <f>IFERROR(VLOOKUP(A34,' سهام'!$A$11:$M$32,13,0),0)</f>
        <v>0</v>
      </c>
      <c r="F34" s="49"/>
      <c r="G34" s="51">
        <v>0</v>
      </c>
      <c r="H34" s="49"/>
      <c r="I34" s="51">
        <f t="shared" si="0"/>
        <v>0</v>
      </c>
      <c r="J34" s="2"/>
      <c r="K34" s="51">
        <v>29443</v>
      </c>
      <c r="L34" s="29"/>
      <c r="M34" s="51">
        <v>194822669</v>
      </c>
      <c r="N34" s="29"/>
      <c r="O34" s="51">
        <v>320949162</v>
      </c>
      <c r="P34" s="29"/>
      <c r="Q34" s="51">
        <f t="shared" si="1"/>
        <v>-126126493</v>
      </c>
      <c r="R34" s="81"/>
      <c r="X34" s="81"/>
      <c r="Y34" s="81"/>
    </row>
    <row r="35" spans="1:25" ht="21.75">
      <c r="A35" s="77" t="s">
        <v>106</v>
      </c>
      <c r="B35" s="93"/>
      <c r="C35" s="58">
        <f>IFERROR(VLOOKUP(A35,اوراق!A10:W14,22,0),0)</f>
        <v>0</v>
      </c>
      <c r="D35" s="93"/>
      <c r="E35" s="58">
        <f>IFERROR(VLOOKUP(A35,اوراق!$A$10:$AG$14,23,0),0)</f>
        <v>0</v>
      </c>
      <c r="F35" s="49"/>
      <c r="G35" s="51">
        <v>0</v>
      </c>
      <c r="H35" s="49"/>
      <c r="I35" s="51">
        <f t="shared" si="0"/>
        <v>0</v>
      </c>
      <c r="J35" s="2"/>
      <c r="K35" s="51">
        <v>3500</v>
      </c>
      <c r="L35" s="29"/>
      <c r="M35" s="51">
        <v>2450514804</v>
      </c>
      <c r="N35" s="29"/>
      <c r="O35" s="51">
        <v>2429435408</v>
      </c>
      <c r="P35" s="29"/>
      <c r="Q35" s="51">
        <f t="shared" si="1"/>
        <v>21079396</v>
      </c>
      <c r="R35" s="81"/>
      <c r="S35" s="81"/>
      <c r="T35" s="81"/>
      <c r="U35" s="81"/>
      <c r="X35" s="81"/>
      <c r="Y35" s="81"/>
    </row>
    <row r="36" spans="1:25" ht="21.75">
      <c r="A36" s="77" t="s">
        <v>112</v>
      </c>
      <c r="B36" s="93"/>
      <c r="C36" s="58">
        <f>IFERROR(VLOOKUP(A36,اوراق!A11:W15,22,0),0)</f>
        <v>0</v>
      </c>
      <c r="D36" s="93"/>
      <c r="E36" s="58">
        <f>IFERROR(VLOOKUP(A36,اوراق!$A$10:$AG$14,23,0),0)</f>
        <v>0</v>
      </c>
      <c r="F36" s="49"/>
      <c r="G36" s="51">
        <v>0</v>
      </c>
      <c r="H36" s="49"/>
      <c r="I36" s="51">
        <f t="shared" si="0"/>
        <v>0</v>
      </c>
      <c r="J36" s="2"/>
      <c r="K36" s="51">
        <v>14380</v>
      </c>
      <c r="L36" s="29"/>
      <c r="M36" s="51">
        <v>9735476935</v>
      </c>
      <c r="N36" s="29"/>
      <c r="O36" s="51">
        <v>9693761537</v>
      </c>
      <c r="P36" s="29"/>
      <c r="Q36" s="51">
        <f t="shared" si="1"/>
        <v>41715398</v>
      </c>
      <c r="R36" s="81"/>
      <c r="T36" s="81"/>
      <c r="U36" s="81"/>
      <c r="X36" s="81"/>
      <c r="Y36" s="81"/>
    </row>
    <row r="37" spans="1:25" ht="21.75">
      <c r="A37" s="77" t="s">
        <v>113</v>
      </c>
      <c r="B37" s="93"/>
      <c r="C37" s="58">
        <f>IFERROR(VLOOKUP(A37,اوراق!A12:W16,22,0),0)</f>
        <v>2900</v>
      </c>
      <c r="D37" s="93"/>
      <c r="E37" s="58">
        <f>IFERROR(VLOOKUP(A37,اوراق!$A$10:$AG$14,23,0),0)</f>
        <v>1942763813</v>
      </c>
      <c r="F37" s="49"/>
      <c r="G37" s="51">
        <v>1886782649</v>
      </c>
      <c r="H37" s="49"/>
      <c r="I37" s="51">
        <f t="shared" si="0"/>
        <v>55981164</v>
      </c>
      <c r="J37" s="2"/>
      <c r="K37" s="51">
        <v>4800</v>
      </c>
      <c r="L37" s="29"/>
      <c r="M37" s="51">
        <v>3198446183</v>
      </c>
      <c r="N37" s="29"/>
      <c r="O37" s="51">
        <v>3122950591</v>
      </c>
      <c r="P37" s="29"/>
      <c r="Q37" s="51">
        <f t="shared" si="1"/>
        <v>75495592</v>
      </c>
      <c r="R37" s="81"/>
      <c r="T37" s="81"/>
      <c r="U37" s="81"/>
      <c r="X37" s="81"/>
      <c r="Y37" s="81"/>
    </row>
    <row r="38" spans="1:25" ht="22.5" thickBot="1">
      <c r="A38" s="58" t="s">
        <v>2</v>
      </c>
      <c r="B38" s="58"/>
      <c r="C38" s="58"/>
      <c r="E38" s="213">
        <f>SUM(E8:E37)</f>
        <v>19712313016</v>
      </c>
      <c r="F38" s="16"/>
      <c r="G38" s="149">
        <f>SUM(G8:G37)</f>
        <v>19726660836</v>
      </c>
      <c r="H38" s="16"/>
      <c r="I38" s="149">
        <f>SUM(I8:I37)</f>
        <v>-14347820</v>
      </c>
      <c r="J38" s="144"/>
      <c r="K38" s="51"/>
      <c r="L38" s="214"/>
      <c r="M38" s="149">
        <f>SUM(M8:M37)</f>
        <v>231073119604</v>
      </c>
      <c r="N38" s="16"/>
      <c r="O38" s="149">
        <f>SUM(O8:O37)</f>
        <v>217724337000</v>
      </c>
      <c r="P38" s="150"/>
      <c r="Q38" s="149">
        <f>SUM(Q8:Q37)</f>
        <v>13348782604</v>
      </c>
    </row>
    <row r="39" spans="1:25" ht="23.25" thickTop="1">
      <c r="E39" s="52"/>
      <c r="F39" s="77"/>
      <c r="G39" s="52"/>
      <c r="H39" s="52"/>
      <c r="I39" s="52"/>
      <c r="J39" s="77"/>
      <c r="K39" s="77"/>
      <c r="L39" s="77"/>
      <c r="M39" s="54"/>
      <c r="N39" s="77"/>
      <c r="O39" s="54"/>
      <c r="P39" s="77"/>
      <c r="Q39" s="54"/>
    </row>
    <row r="40" spans="1:25" ht="22.5">
      <c r="E40" s="52"/>
      <c r="F40" s="77"/>
      <c r="G40" s="52"/>
      <c r="H40" s="77"/>
      <c r="I40" s="52"/>
      <c r="J40" s="77"/>
      <c r="K40" s="77"/>
      <c r="L40" s="77"/>
      <c r="M40" s="52"/>
      <c r="N40" s="77"/>
      <c r="O40" s="52"/>
      <c r="P40" s="77"/>
      <c r="Q40" s="52"/>
    </row>
    <row r="41" spans="1:25" ht="10.5" customHeight="1">
      <c r="A41" s="76"/>
      <c r="B41" s="76"/>
      <c r="C41" s="76"/>
      <c r="D41" s="76"/>
      <c r="E41" s="47"/>
      <c r="F41" s="47"/>
      <c r="G41" s="47"/>
      <c r="H41" s="47"/>
      <c r="I41" s="2"/>
      <c r="J41" s="2"/>
      <c r="K41" s="2"/>
      <c r="L41" s="2"/>
      <c r="M41" s="2"/>
      <c r="N41" s="2"/>
      <c r="O41" s="2"/>
      <c r="P41" s="2"/>
      <c r="Q41" s="2"/>
    </row>
    <row r="42" spans="1:25" ht="21.75">
      <c r="A42" s="330" t="s">
        <v>39</v>
      </c>
      <c r="B42" s="331"/>
      <c r="C42" s="331"/>
      <c r="D42" s="331"/>
      <c r="E42" s="331"/>
      <c r="F42" s="331"/>
      <c r="G42" s="331"/>
      <c r="H42" s="331"/>
      <c r="I42" s="331"/>
      <c r="J42" s="331"/>
      <c r="K42" s="331"/>
      <c r="L42" s="331"/>
      <c r="M42" s="331"/>
      <c r="N42" s="331"/>
      <c r="O42" s="331"/>
      <c r="P42" s="331"/>
      <c r="Q42" s="332"/>
    </row>
    <row r="43" spans="1:25" ht="6" customHeight="1">
      <c r="A43" s="95"/>
      <c r="B43" s="95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</row>
    <row r="44" spans="1:25" s="245" customFormat="1" ht="18" customHeight="1"/>
    <row r="45" spans="1:25" s="245" customFormat="1" ht="21.75"/>
    <row r="46" spans="1:25" s="245" customFormat="1" ht="21.75"/>
    <row r="47" spans="1:25" s="245" customFormat="1" ht="21.75"/>
    <row r="48" spans="1:25" s="245" customFormat="1" ht="21.75"/>
    <row r="49" spans="5:20" s="245" customFormat="1" ht="21.75"/>
    <row r="50" spans="5:20" s="245" customFormat="1" ht="21.75"/>
    <row r="51" spans="5:20" s="245" customFormat="1" ht="21.75"/>
    <row r="52" spans="5:20" s="245" customFormat="1" ht="22.5">
      <c r="I52" s="247"/>
      <c r="Q52" s="247"/>
    </row>
    <row r="53" spans="5:20" s="245" customFormat="1" ht="21.75"/>
    <row r="54" spans="5:20" s="246" customFormat="1" ht="24"/>
    <row r="55" spans="5:20" s="246" customFormat="1" ht="24"/>
    <row r="56" spans="5:20" s="246" customFormat="1" ht="24"/>
    <row r="57" spans="5:20" s="246" customFormat="1" ht="24"/>
    <row r="58" spans="5:20" s="35" customFormat="1" ht="24"/>
    <row r="59" spans="5:20" s="35" customFormat="1" ht="24"/>
    <row r="60" spans="5:20" s="35" customFormat="1" ht="24">
      <c r="R60" s="66"/>
      <c r="T60" s="154"/>
    </row>
    <row r="61" spans="5:20" ht="24">
      <c r="E61" s="77"/>
      <c r="F61" s="77"/>
      <c r="G61" s="77"/>
      <c r="H61" s="77"/>
      <c r="I61" s="35"/>
      <c r="J61" s="77"/>
      <c r="K61" s="77"/>
      <c r="L61" s="77"/>
      <c r="M61" s="77"/>
      <c r="N61" s="77"/>
      <c r="O61" s="77"/>
      <c r="P61" s="77"/>
      <c r="Q61" s="154"/>
      <c r="R61" s="66"/>
      <c r="T61" s="154"/>
    </row>
    <row r="62" spans="5:20" ht="24">
      <c r="I62" s="35"/>
      <c r="Q62" s="154"/>
      <c r="R62" s="66"/>
    </row>
    <row r="63" spans="5:20">
      <c r="I63" s="154"/>
      <c r="Q63" s="154"/>
      <c r="R63" s="97"/>
      <c r="T63" s="97"/>
    </row>
    <row r="64" spans="5:20" ht="24">
      <c r="I64" s="154"/>
      <c r="Q64" s="35"/>
      <c r="R64" s="153"/>
    </row>
    <row r="65" spans="9:9" ht="24">
      <c r="I65" s="35"/>
    </row>
    <row r="66" spans="9:9" ht="24">
      <c r="I66" s="35"/>
    </row>
    <row r="67" spans="9:9" ht="24">
      <c r="I67" s="35"/>
    </row>
    <row r="68" spans="9:9" ht="24">
      <c r="I68" s="35"/>
    </row>
    <row r="69" spans="9:9" ht="24">
      <c r="I69" s="35"/>
    </row>
    <row r="70" spans="9:9" ht="24">
      <c r="I70" s="35"/>
    </row>
    <row r="71" spans="9:9" ht="24">
      <c r="I71" s="35"/>
    </row>
    <row r="72" spans="9:9" ht="24">
      <c r="I72" s="35"/>
    </row>
    <row r="73" spans="9:9" ht="24">
      <c r="I73" s="35"/>
    </row>
  </sheetData>
  <autoFilter ref="A7:Q7" xr:uid="{00000000-0009-0000-0000-000007000000}">
    <sortState xmlns:xlrd2="http://schemas.microsoft.com/office/spreadsheetml/2017/richdata2" ref="A8:Q21">
      <sortCondition ref="A7"/>
    </sortState>
  </autoFilter>
  <sortState xmlns:xlrd2="http://schemas.microsoft.com/office/spreadsheetml/2017/richdata2" ref="T8:U57">
    <sortCondition descending="1" ref="T7:T57"/>
  </sortState>
  <mergeCells count="8">
    <mergeCell ref="A1:Q1"/>
    <mergeCell ref="A2:Q2"/>
    <mergeCell ref="A3:Q3"/>
    <mergeCell ref="A42:Q42"/>
    <mergeCell ref="C6:I6"/>
    <mergeCell ref="K6:Q6"/>
    <mergeCell ref="A5:I5"/>
    <mergeCell ref="J5:Q5"/>
  </mergeCells>
  <printOptions horizontalCentered="1"/>
  <pageMargins left="0.25" right="0.25" top="0.75" bottom="0.75" header="0.3" footer="0.3"/>
  <pageSetup paperSize="9" scale="67" fitToHeight="0" orientation="landscape" r:id="rId1"/>
  <rowBreaks count="1" manualBreakCount="1">
    <brk id="43" max="15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rgb="FF92D050"/>
    <pageSetUpPr fitToPage="1"/>
  </sheetPr>
  <dimension ref="A1:Y54"/>
  <sheetViews>
    <sheetView rightToLeft="1" view="pageBreakPreview" topLeftCell="A33" zoomScale="80" zoomScaleNormal="100" zoomScaleSheetLayoutView="80" workbookViewId="0">
      <selection activeCell="G19" sqref="G19"/>
    </sheetView>
  </sheetViews>
  <sheetFormatPr defaultColWidth="9.140625" defaultRowHeight="21.75"/>
  <cols>
    <col min="1" max="1" width="34.28515625" style="77" bestFit="1" customWidth="1"/>
    <col min="2" max="2" width="0.5703125" style="77" customWidth="1"/>
    <col min="3" max="3" width="20.28515625" style="2" bestFit="1" customWidth="1"/>
    <col min="4" max="4" width="0.85546875" style="2" customWidth="1"/>
    <col min="5" max="5" width="25.7109375" style="2" bestFit="1" customWidth="1"/>
    <col min="6" max="6" width="0.85546875" style="2" customWidth="1"/>
    <col min="7" max="7" width="25.7109375" style="2" bestFit="1" customWidth="1"/>
    <col min="8" max="8" width="0.7109375" style="2" customWidth="1"/>
    <col min="9" max="9" width="25.140625" style="2" customWidth="1"/>
    <col min="10" max="10" width="1.42578125" style="2" customWidth="1"/>
    <col min="11" max="11" width="17.7109375" style="2" bestFit="1" customWidth="1"/>
    <col min="12" max="12" width="1.140625" style="2" customWidth="1"/>
    <col min="13" max="13" width="25.7109375" style="2" bestFit="1" customWidth="1"/>
    <col min="14" max="14" width="1" style="2" customWidth="1"/>
    <col min="15" max="15" width="25.7109375" style="2" bestFit="1" customWidth="1"/>
    <col min="16" max="16" width="1.140625" style="2" customWidth="1"/>
    <col min="17" max="17" width="25.7109375" style="2" bestFit="1" customWidth="1"/>
    <col min="18" max="18" width="10" style="77" customWidth="1"/>
    <col min="19" max="19" width="17" style="77" bestFit="1" customWidth="1"/>
    <col min="20" max="20" width="13.140625" style="77" customWidth="1"/>
    <col min="21" max="21" width="15.5703125" style="17" bestFit="1" customWidth="1"/>
    <col min="22" max="22" width="14.42578125" style="77" bestFit="1" customWidth="1"/>
    <col min="23" max="23" width="13" style="77" bestFit="1" customWidth="1"/>
    <col min="24" max="24" width="13.140625" style="77" bestFit="1" customWidth="1"/>
    <col min="25" max="25" width="14.28515625" style="77" bestFit="1" customWidth="1"/>
    <col min="26" max="16384" width="9.140625" style="77"/>
  </cols>
  <sheetData>
    <row r="1" spans="1:25" ht="22.5">
      <c r="A1" s="321" t="s">
        <v>85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321"/>
      <c r="O1" s="321"/>
      <c r="P1" s="321"/>
      <c r="Q1" s="321"/>
    </row>
    <row r="2" spans="1:25" ht="22.5">
      <c r="A2" s="321" t="s">
        <v>51</v>
      </c>
      <c r="B2" s="321"/>
      <c r="C2" s="321"/>
      <c r="D2" s="321"/>
      <c r="E2" s="321"/>
      <c r="F2" s="321"/>
      <c r="G2" s="321"/>
      <c r="H2" s="321"/>
      <c r="I2" s="321"/>
      <c r="J2" s="321"/>
      <c r="K2" s="321"/>
      <c r="L2" s="321"/>
      <c r="M2" s="321"/>
      <c r="N2" s="321"/>
      <c r="O2" s="321"/>
      <c r="P2" s="321"/>
      <c r="Q2" s="321"/>
    </row>
    <row r="3" spans="1:25" ht="22.5">
      <c r="A3" s="321" t="str">
        <f>' سهام'!A3:W3</f>
        <v>برای ماه منتهی به 1403/02/31</v>
      </c>
      <c r="B3" s="321"/>
      <c r="C3" s="321"/>
      <c r="D3" s="321"/>
      <c r="E3" s="321"/>
      <c r="F3" s="321"/>
      <c r="G3" s="321"/>
      <c r="H3" s="321"/>
      <c r="I3" s="321"/>
      <c r="J3" s="321"/>
      <c r="K3" s="321"/>
      <c r="L3" s="321"/>
      <c r="M3" s="321"/>
      <c r="N3" s="321"/>
      <c r="O3" s="321"/>
      <c r="P3" s="321"/>
      <c r="Q3" s="321"/>
    </row>
    <row r="4" spans="1:25" ht="12.75" customHeight="1">
      <c r="A4" s="239"/>
      <c r="B4" s="239"/>
      <c r="C4" s="239"/>
      <c r="D4" s="239"/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39"/>
      <c r="Q4" s="239"/>
    </row>
    <row r="5" spans="1:25">
      <c r="A5" s="284" t="s">
        <v>58</v>
      </c>
      <c r="B5" s="284"/>
      <c r="C5" s="284"/>
      <c r="D5" s="284"/>
      <c r="E5" s="284"/>
      <c r="F5" s="284"/>
      <c r="G5" s="284"/>
      <c r="H5" s="284"/>
    </row>
    <row r="6" spans="1:25" ht="21" customHeight="1">
      <c r="A6" s="69"/>
      <c r="B6" s="69"/>
      <c r="C6" s="337" t="str" cm="1">
        <f t="array" ref="C6:G6">'سود اوراق بهادار'!B6:F6</f>
        <v>طی اردیبهشت ماه</v>
      </c>
      <c r="D6" s="337">
        <v>0</v>
      </c>
      <c r="E6" s="337">
        <v>0</v>
      </c>
      <c r="F6" s="337">
        <v>0</v>
      </c>
      <c r="G6" s="337">
        <v>0</v>
      </c>
      <c r="H6" s="337"/>
      <c r="I6" s="337"/>
      <c r="K6" s="337" t="str" cm="1">
        <f t="array" ref="K6:O6">'سود اوراق بهادار'!H6:L6</f>
        <v>از ابتدای سال مالی تا پایان اردیبهشت ماه</v>
      </c>
      <c r="L6" s="337">
        <v>0</v>
      </c>
      <c r="M6" s="337">
        <v>0</v>
      </c>
      <c r="N6" s="337">
        <v>0</v>
      </c>
      <c r="O6" s="337">
        <v>0</v>
      </c>
      <c r="P6" s="337"/>
      <c r="Q6" s="337"/>
    </row>
    <row r="7" spans="1:25" ht="27" customHeight="1" thickBot="1">
      <c r="A7" s="78" t="s">
        <v>33</v>
      </c>
      <c r="B7" s="78"/>
      <c r="C7" s="28" t="s">
        <v>3</v>
      </c>
      <c r="D7" s="29"/>
      <c r="E7" s="30" t="s">
        <v>18</v>
      </c>
      <c r="F7" s="29"/>
      <c r="G7" s="28" t="s">
        <v>37</v>
      </c>
      <c r="H7" s="29"/>
      <c r="I7" s="31" t="s">
        <v>38</v>
      </c>
      <c r="K7" s="28" t="s">
        <v>3</v>
      </c>
      <c r="L7" s="29"/>
      <c r="M7" s="30" t="s">
        <v>18</v>
      </c>
      <c r="N7" s="29"/>
      <c r="O7" s="28" t="s">
        <v>37</v>
      </c>
      <c r="P7" s="29"/>
      <c r="Q7" s="31" t="s">
        <v>38</v>
      </c>
    </row>
    <row r="8" spans="1:25">
      <c r="A8" s="98" t="s">
        <v>142</v>
      </c>
      <c r="C8" s="16">
        <f>IFERROR(VLOOKUP(A8,' سهام'!$A$11:$U$32,15,0),0)</f>
        <v>67316</v>
      </c>
      <c r="D8" s="16"/>
      <c r="E8" s="16">
        <f>IFERROR(VLOOKUP(A8,' سهام'!$A$11:$U$32,21,0),0)</f>
        <v>1152284394</v>
      </c>
      <c r="F8" s="16" t="s">
        <v>122</v>
      </c>
      <c r="G8" s="151">
        <v>1248642671</v>
      </c>
      <c r="H8" s="16"/>
      <c r="I8" s="16">
        <f>E8-G8</f>
        <v>-96358277</v>
      </c>
      <c r="J8" s="16"/>
      <c r="K8" s="16">
        <f>IFERROR(VLOOKUP(A8,' سهام'!$A$11:$U$32,15,0),0)</f>
        <v>67316</v>
      </c>
      <c r="L8" s="16"/>
      <c r="M8" s="16">
        <f>IFERROR(VLOOKUP(A8,' سهام'!$A$11:$U$32,21,0),0)</f>
        <v>1152284394</v>
      </c>
      <c r="N8" s="16"/>
      <c r="O8" s="151">
        <v>1308035336</v>
      </c>
      <c r="P8" s="16"/>
      <c r="Q8" s="16">
        <f>M8-O8</f>
        <v>-155750942</v>
      </c>
      <c r="R8" s="81"/>
      <c r="S8" s="151"/>
      <c r="T8" s="81"/>
      <c r="V8" s="17"/>
      <c r="W8" s="81"/>
      <c r="X8" s="81"/>
      <c r="Y8" s="81"/>
    </row>
    <row r="9" spans="1:25">
      <c r="A9" s="98" t="s">
        <v>125</v>
      </c>
      <c r="C9" s="16">
        <f>IFERROR(VLOOKUP(A9,' سهام'!$A$11:$U$32,15,0),0)</f>
        <v>64886</v>
      </c>
      <c r="D9" s="16"/>
      <c r="E9" s="16">
        <f>IFERROR(VLOOKUP(A9,' سهام'!$A$11:$U$32,21,0),0)</f>
        <v>1474468366</v>
      </c>
      <c r="F9" s="16"/>
      <c r="G9" s="151">
        <v>1411258433</v>
      </c>
      <c r="H9" s="16"/>
      <c r="I9" s="16">
        <f t="shared" ref="I9:I34" si="0">E9-G9</f>
        <v>63209933</v>
      </c>
      <c r="J9" s="16"/>
      <c r="K9" s="16">
        <f>IFERROR(VLOOKUP(A9,' سهام'!$A$11:$U$32,15,0),0)</f>
        <v>64886</v>
      </c>
      <c r="L9" s="16"/>
      <c r="M9" s="16">
        <f>IFERROR(VLOOKUP(A9,' سهام'!$A$11:$U$32,21,0),0)</f>
        <v>1474468366</v>
      </c>
      <c r="N9" s="16"/>
      <c r="O9" s="151">
        <v>1121315880</v>
      </c>
      <c r="P9" s="16"/>
      <c r="Q9" s="16">
        <f t="shared" ref="Q9:Q34" si="1">M9-O9</f>
        <v>353152486</v>
      </c>
      <c r="R9" s="81"/>
      <c r="S9" s="151"/>
      <c r="T9" s="81"/>
      <c r="V9" s="17"/>
      <c r="W9" s="81"/>
      <c r="X9" s="81"/>
      <c r="Y9" s="81"/>
    </row>
    <row r="10" spans="1:25">
      <c r="A10" s="98" t="s">
        <v>97</v>
      </c>
      <c r="C10" s="16">
        <f>IFERROR(VLOOKUP(A10,' سهام'!$A$11:$U$32,15,0),0)</f>
        <v>43844</v>
      </c>
      <c r="D10" s="16"/>
      <c r="E10" s="16">
        <f>IFERROR(VLOOKUP(A10,' سهام'!$A$11:$U$32,21,0),0)</f>
        <v>1307493849</v>
      </c>
      <c r="F10" s="16"/>
      <c r="G10" s="151">
        <v>1691897040</v>
      </c>
      <c r="H10" s="16"/>
      <c r="I10" s="16">
        <f t="shared" si="0"/>
        <v>-384403191</v>
      </c>
      <c r="J10" s="16"/>
      <c r="K10" s="16">
        <f>IFERROR(VLOOKUP(A10,' سهام'!$A$11:$U$32,15,0),0)</f>
        <v>43844</v>
      </c>
      <c r="L10" s="16"/>
      <c r="M10" s="16">
        <f>IFERROR(VLOOKUP(A10,' سهام'!$A$11:$U$32,21,0),0)</f>
        <v>1307493849</v>
      </c>
      <c r="N10" s="16"/>
      <c r="O10" s="151">
        <v>1368330953</v>
      </c>
      <c r="P10" s="16"/>
      <c r="Q10" s="16">
        <f t="shared" si="1"/>
        <v>-60837104</v>
      </c>
      <c r="R10" s="81"/>
      <c r="S10" s="151"/>
      <c r="T10" s="81"/>
      <c r="V10" s="17"/>
      <c r="W10" s="81"/>
      <c r="X10" s="81"/>
      <c r="Y10" s="81"/>
    </row>
    <row r="11" spans="1:25">
      <c r="A11" s="98" t="s">
        <v>103</v>
      </c>
      <c r="C11" s="16">
        <f>IFERROR(VLOOKUP(A11,' سهام'!$A$11:$U$32,15,0),0)</f>
        <v>36974</v>
      </c>
      <c r="D11" s="16"/>
      <c r="E11" s="16">
        <f>IFERROR(VLOOKUP(A11,' سهام'!$A$11:$U$32,21,0),0)</f>
        <v>790578645</v>
      </c>
      <c r="F11" s="16"/>
      <c r="G11" s="151">
        <v>829905429</v>
      </c>
      <c r="H11" s="16"/>
      <c r="I11" s="16">
        <f t="shared" si="0"/>
        <v>-39326784</v>
      </c>
      <c r="J11" s="16"/>
      <c r="K11" s="16">
        <f>IFERROR(VLOOKUP(A11,' سهام'!$A$11:$U$32,15,0),0)</f>
        <v>36974</v>
      </c>
      <c r="L11" s="16"/>
      <c r="M11" s="16">
        <f>IFERROR(VLOOKUP(A11,' سهام'!$A$11:$U$32,21,0),0)</f>
        <v>790578645</v>
      </c>
      <c r="N11" s="16"/>
      <c r="O11" s="151">
        <v>856032528</v>
      </c>
      <c r="P11" s="16"/>
      <c r="Q11" s="16">
        <f t="shared" si="1"/>
        <v>-65453883</v>
      </c>
      <c r="R11" s="81"/>
      <c r="S11" s="151"/>
      <c r="T11" s="81"/>
      <c r="V11" s="17"/>
      <c r="W11" s="81"/>
      <c r="X11" s="81"/>
      <c r="Y11" s="81"/>
    </row>
    <row r="12" spans="1:25">
      <c r="A12" s="98" t="s">
        <v>90</v>
      </c>
      <c r="C12" s="16">
        <f>IFERROR(VLOOKUP(A12,' سهام'!$A$11:$U$32,15,0),0)</f>
        <v>132916</v>
      </c>
      <c r="D12" s="16"/>
      <c r="E12" s="16">
        <f>IFERROR(VLOOKUP(A12,' سهام'!$A$11:$U$32,21,0),0)</f>
        <v>6710636361</v>
      </c>
      <c r="F12" s="16"/>
      <c r="G12" s="151">
        <v>7045810490</v>
      </c>
      <c r="H12" s="16"/>
      <c r="I12" s="16">
        <f t="shared" si="0"/>
        <v>-335174129</v>
      </c>
      <c r="J12" s="16"/>
      <c r="K12" s="16">
        <f>IFERROR(VLOOKUP(A12,' سهام'!$A$11:$U$32,15,0),0)</f>
        <v>132916</v>
      </c>
      <c r="L12" s="16"/>
      <c r="M12" s="16">
        <f>IFERROR(VLOOKUP(A12,' سهام'!$A$11:$U$32,21,0),0)</f>
        <v>6710636361</v>
      </c>
      <c r="N12" s="16"/>
      <c r="O12" s="151">
        <v>5890302920</v>
      </c>
      <c r="P12" s="16"/>
      <c r="Q12" s="16">
        <f t="shared" si="1"/>
        <v>820333441</v>
      </c>
      <c r="R12" s="81"/>
      <c r="S12" s="151"/>
      <c r="T12" s="81"/>
      <c r="V12" s="17"/>
      <c r="W12" s="81"/>
      <c r="X12" s="81"/>
      <c r="Y12" s="81"/>
    </row>
    <row r="13" spans="1:25">
      <c r="A13" s="98" t="s">
        <v>89</v>
      </c>
      <c r="C13" s="16">
        <f>IFERROR(VLOOKUP(A13,' سهام'!$A$11:$U$32,15,0),0)</f>
        <v>279728</v>
      </c>
      <c r="D13" s="16"/>
      <c r="E13" s="16">
        <f>IFERROR(VLOOKUP(A13,' سهام'!$A$11:$U$32,21,0),0)</f>
        <v>5158080124</v>
      </c>
      <c r="F13" s="16"/>
      <c r="G13" s="151">
        <v>5155328162</v>
      </c>
      <c r="H13" s="16"/>
      <c r="I13" s="16">
        <f t="shared" si="0"/>
        <v>2751962</v>
      </c>
      <c r="J13" s="16"/>
      <c r="K13" s="16">
        <f>IFERROR(VLOOKUP(A13,' سهام'!$A$11:$U$32,15,0),0)</f>
        <v>279728</v>
      </c>
      <c r="L13" s="16"/>
      <c r="M13" s="16">
        <f>IFERROR(VLOOKUP(A13,' سهام'!$A$11:$U$32,21,0),0)</f>
        <v>5158080124</v>
      </c>
      <c r="N13" s="16"/>
      <c r="O13" s="151">
        <v>4860406083</v>
      </c>
      <c r="P13" s="16"/>
      <c r="Q13" s="16">
        <f t="shared" si="1"/>
        <v>297674041</v>
      </c>
      <c r="R13" s="81"/>
      <c r="S13" s="151"/>
      <c r="T13" s="81"/>
      <c r="V13" s="17"/>
      <c r="W13" s="81"/>
      <c r="X13" s="81"/>
      <c r="Y13" s="81"/>
    </row>
    <row r="14" spans="1:25">
      <c r="A14" s="98" t="s">
        <v>91</v>
      </c>
      <c r="C14" s="16">
        <f>IFERROR(VLOOKUP(A14,' سهام'!$A$11:$U$32,15,0),0)</f>
        <v>1246167</v>
      </c>
      <c r="D14" s="16"/>
      <c r="E14" s="16">
        <f>IFERROR(VLOOKUP(A14,' سهام'!$A$11:$U$32,21,0),0)</f>
        <v>10380744330</v>
      </c>
      <c r="F14" s="16"/>
      <c r="G14" s="151">
        <v>10518280981</v>
      </c>
      <c r="H14" s="16"/>
      <c r="I14" s="16">
        <f t="shared" si="0"/>
        <v>-137536651</v>
      </c>
      <c r="J14" s="16"/>
      <c r="K14" s="16">
        <f>IFERROR(VLOOKUP(A14,' سهام'!$A$11:$U$32,15,0),0)</f>
        <v>1246167</v>
      </c>
      <c r="L14" s="16"/>
      <c r="M14" s="16">
        <f>IFERROR(VLOOKUP(A14,' سهام'!$A$11:$U$32,21,0),0)</f>
        <v>10380744330</v>
      </c>
      <c r="N14" s="16"/>
      <c r="O14" s="151">
        <v>10698734165</v>
      </c>
      <c r="P14" s="16"/>
      <c r="Q14" s="16">
        <f t="shared" si="1"/>
        <v>-317989835</v>
      </c>
      <c r="R14" s="81"/>
      <c r="S14" s="151"/>
      <c r="T14" s="81"/>
      <c r="V14" s="17"/>
      <c r="W14" s="81"/>
      <c r="X14" s="81"/>
      <c r="Y14" s="81"/>
    </row>
    <row r="15" spans="1:25">
      <c r="A15" s="98" t="s">
        <v>100</v>
      </c>
      <c r="C15" s="16">
        <f>IFERROR(VLOOKUP(A15,' سهام'!$A$11:$U$32,15,0),0)</f>
        <v>40877</v>
      </c>
      <c r="D15" s="16"/>
      <c r="E15" s="16">
        <f>IFERROR(VLOOKUP(A15,' سهام'!$A$11:$U$32,21,0),0)</f>
        <v>1028034684</v>
      </c>
      <c r="F15" s="16"/>
      <c r="G15" s="151">
        <v>1224295851</v>
      </c>
      <c r="H15" s="16"/>
      <c r="I15" s="16">
        <f t="shared" si="0"/>
        <v>-196261167</v>
      </c>
      <c r="J15" s="16"/>
      <c r="K15" s="16">
        <f>IFERROR(VLOOKUP(A15,' سهام'!$A$11:$U$32,15,0),0)</f>
        <v>40877</v>
      </c>
      <c r="L15" s="16"/>
      <c r="M15" s="16">
        <f>IFERROR(VLOOKUP(A15,' سهام'!$A$11:$U$32,21,0),0)</f>
        <v>1028034684</v>
      </c>
      <c r="N15" s="16"/>
      <c r="O15" s="151">
        <v>904308965</v>
      </c>
      <c r="P15" s="16"/>
      <c r="Q15" s="16">
        <f t="shared" si="1"/>
        <v>123725719</v>
      </c>
      <c r="R15" s="81"/>
      <c r="S15" s="151"/>
      <c r="T15" s="81"/>
      <c r="V15" s="17"/>
      <c r="W15" s="81"/>
      <c r="X15" s="81"/>
      <c r="Y15" s="81"/>
    </row>
    <row r="16" spans="1:25">
      <c r="A16" s="98" t="s">
        <v>92</v>
      </c>
      <c r="C16" s="16">
        <f>IFERROR(VLOOKUP(A16,' سهام'!$A$11:$U$32,15,0),0)</f>
        <v>2111363</v>
      </c>
      <c r="D16" s="16"/>
      <c r="E16" s="16">
        <f>IFERROR(VLOOKUP(A16,' سهام'!$A$11:$U$32,21,0),0)</f>
        <v>16118786998</v>
      </c>
      <c r="F16" s="16"/>
      <c r="G16" s="151">
        <v>16118742650</v>
      </c>
      <c r="H16" s="16"/>
      <c r="I16" s="16">
        <f t="shared" si="0"/>
        <v>44348</v>
      </c>
      <c r="J16" s="16"/>
      <c r="K16" s="16">
        <f>IFERROR(VLOOKUP(A16,' سهام'!$A$11:$U$32,15,0),0)</f>
        <v>2111363</v>
      </c>
      <c r="L16" s="16"/>
      <c r="M16" s="16">
        <f>IFERROR(VLOOKUP(A16,' سهام'!$A$11:$U$32,21,0),0)</f>
        <v>16118786998</v>
      </c>
      <c r="N16" s="16"/>
      <c r="O16" s="151">
        <v>14221610429</v>
      </c>
      <c r="P16" s="16"/>
      <c r="Q16" s="16">
        <f t="shared" si="1"/>
        <v>1897176569</v>
      </c>
      <c r="R16" s="81"/>
      <c r="S16" s="151"/>
      <c r="T16" s="81"/>
      <c r="V16" s="17"/>
      <c r="W16" s="81"/>
      <c r="X16" s="81"/>
      <c r="Y16" s="81"/>
    </row>
    <row r="17" spans="1:25">
      <c r="A17" s="98" t="s">
        <v>88</v>
      </c>
      <c r="C17" s="16">
        <f>IFERROR(VLOOKUP(A17,' سهام'!$A$11:$U$32,15,0),0)</f>
        <v>193122</v>
      </c>
      <c r="D17" s="16"/>
      <c r="E17" s="16">
        <f>IFERROR(VLOOKUP(A17,' سهام'!$A$11:$U$32,21,0),0)</f>
        <v>3465111283</v>
      </c>
      <c r="F17" s="16"/>
      <c r="G17" s="151">
        <v>3852669994</v>
      </c>
      <c r="H17" s="16"/>
      <c r="I17" s="16">
        <f t="shared" si="0"/>
        <v>-387558711</v>
      </c>
      <c r="J17" s="16"/>
      <c r="K17" s="16">
        <f>IFERROR(VLOOKUP(A17,' سهام'!$A$11:$U$32,15,0),0)</f>
        <v>193122</v>
      </c>
      <c r="L17" s="16"/>
      <c r="M17" s="16">
        <f>IFERROR(VLOOKUP(A17,' سهام'!$A$11:$U$32,21,0),0)</f>
        <v>3465111283</v>
      </c>
      <c r="N17" s="16"/>
      <c r="O17" s="151">
        <v>3579049426</v>
      </c>
      <c r="P17" s="16"/>
      <c r="Q17" s="16">
        <f t="shared" si="1"/>
        <v>-113938143</v>
      </c>
      <c r="R17" s="81"/>
      <c r="S17" s="151"/>
      <c r="T17" s="81"/>
      <c r="V17" s="17"/>
      <c r="W17" s="81"/>
      <c r="X17" s="81"/>
      <c r="Y17" s="81"/>
    </row>
    <row r="18" spans="1:25">
      <c r="A18" s="98" t="s">
        <v>86</v>
      </c>
      <c r="C18" s="16">
        <f>IFERROR(VLOOKUP(A18,' سهام'!$A$11:$U$32,15,0),0)</f>
        <v>188661</v>
      </c>
      <c r="D18" s="16"/>
      <c r="E18" s="16">
        <f>IFERROR(VLOOKUP(A18,' سهام'!$A$11:$U$32,21,0),0)</f>
        <v>2092929296</v>
      </c>
      <c r="F18" s="16"/>
      <c r="G18" s="151">
        <v>2175446220</v>
      </c>
      <c r="H18" s="16"/>
      <c r="I18" s="16">
        <f t="shared" si="0"/>
        <v>-82516924</v>
      </c>
      <c r="J18" s="16"/>
      <c r="K18" s="16">
        <f>IFERROR(VLOOKUP(A18,' سهام'!$A$11:$U$32,15,0),0)</f>
        <v>188661</v>
      </c>
      <c r="L18" s="16"/>
      <c r="M18" s="16">
        <f>IFERROR(VLOOKUP(A18,' سهام'!$A$11:$U$32,21,0),0)</f>
        <v>2092929296</v>
      </c>
      <c r="N18" s="16"/>
      <c r="O18" s="151">
        <v>2227161059</v>
      </c>
      <c r="P18" s="16"/>
      <c r="Q18" s="16">
        <f t="shared" si="1"/>
        <v>-134231763</v>
      </c>
      <c r="R18" s="81"/>
      <c r="S18" s="151"/>
      <c r="T18" s="81"/>
      <c r="V18" s="17"/>
      <c r="W18" s="81"/>
      <c r="X18" s="81"/>
      <c r="Y18" s="81"/>
    </row>
    <row r="19" spans="1:25">
      <c r="A19" s="98" t="s">
        <v>123</v>
      </c>
      <c r="C19" s="16">
        <f>IFERROR(VLOOKUP(A19,' سهام'!$A$11:$U$32,15,0),0)</f>
        <v>269257</v>
      </c>
      <c r="D19" s="16"/>
      <c r="E19" s="16">
        <f>IFERROR(VLOOKUP(A19,' سهام'!$A$11:$U$32,21,0),0)</f>
        <v>3417953342</v>
      </c>
      <c r="F19" s="16"/>
      <c r="G19" s="151">
        <v>3349825330</v>
      </c>
      <c r="H19" s="16"/>
      <c r="I19" s="16">
        <f t="shared" si="0"/>
        <v>68128012</v>
      </c>
      <c r="J19" s="16"/>
      <c r="K19" s="16">
        <f>IFERROR(VLOOKUP(A19,' سهام'!$A$11:$U$32,15,0),0)</f>
        <v>269257</v>
      </c>
      <c r="L19" s="16"/>
      <c r="M19" s="16">
        <f>IFERROR(VLOOKUP(A19,' سهام'!$A$11:$U$32,21,0),0)</f>
        <v>3417953342</v>
      </c>
      <c r="N19" s="16"/>
      <c r="O19" s="151">
        <v>3501026075</v>
      </c>
      <c r="P19" s="16"/>
      <c r="Q19" s="16">
        <f t="shared" si="1"/>
        <v>-83072733</v>
      </c>
      <c r="R19" s="81"/>
      <c r="S19" s="151"/>
      <c r="T19" s="81"/>
      <c r="V19" s="17"/>
      <c r="W19" s="81"/>
      <c r="X19" s="81"/>
      <c r="Y19" s="81"/>
    </row>
    <row r="20" spans="1:25">
      <c r="A20" s="98" t="s">
        <v>93</v>
      </c>
      <c r="C20" s="16">
        <f>IFERROR(VLOOKUP(A20,' سهام'!$A$11:$U$32,15,0),0)</f>
        <v>1607112</v>
      </c>
      <c r="D20" s="16"/>
      <c r="E20" s="16">
        <f>IFERROR(VLOOKUP(A20,' سهام'!$A$11:$U$32,21,0),0)</f>
        <v>5268718860</v>
      </c>
      <c r="F20" s="16"/>
      <c r="G20" s="151">
        <v>5393089867</v>
      </c>
      <c r="H20" s="16"/>
      <c r="I20" s="16">
        <f t="shared" si="0"/>
        <v>-124371007</v>
      </c>
      <c r="J20" s="16"/>
      <c r="K20" s="16">
        <f>IFERROR(VLOOKUP(A20,' سهام'!$A$11:$U$32,15,0),0)</f>
        <v>1607112</v>
      </c>
      <c r="L20" s="16"/>
      <c r="M20" s="16">
        <f>IFERROR(VLOOKUP(A20,' سهام'!$A$11:$U$32,21,0),0)</f>
        <v>5268718860</v>
      </c>
      <c r="N20" s="16"/>
      <c r="O20" s="151">
        <v>6170458832</v>
      </c>
      <c r="P20" s="16"/>
      <c r="Q20" s="16">
        <f t="shared" si="1"/>
        <v>-901739972</v>
      </c>
      <c r="R20" s="81"/>
      <c r="S20" s="151"/>
      <c r="T20" s="81"/>
      <c r="V20" s="17"/>
      <c r="W20" s="81"/>
      <c r="X20" s="81"/>
      <c r="Y20" s="81"/>
    </row>
    <row r="21" spans="1:25">
      <c r="A21" s="98" t="s">
        <v>101</v>
      </c>
      <c r="C21" s="16">
        <f>IFERROR(VLOOKUP(A21,' سهام'!$A$11:$U$32,15,0),0)</f>
        <v>64355</v>
      </c>
      <c r="D21" s="16"/>
      <c r="E21" s="16">
        <f>IFERROR(VLOOKUP(A21,' سهام'!$A$11:$U$32,21,0),0)</f>
        <v>1014597314</v>
      </c>
      <c r="F21" s="16"/>
      <c r="G21" s="151">
        <v>1188095078</v>
      </c>
      <c r="H21" s="16"/>
      <c r="I21" s="16">
        <f t="shared" si="0"/>
        <v>-173497764</v>
      </c>
      <c r="J21" s="16"/>
      <c r="K21" s="16">
        <f>IFERROR(VLOOKUP(A21,' سهام'!$A$11:$U$32,15,0),0)</f>
        <v>64355</v>
      </c>
      <c r="L21" s="16"/>
      <c r="M21" s="16">
        <f>IFERROR(VLOOKUP(A21,' سهام'!$A$11:$U$32,21,0),0)</f>
        <v>1014597314</v>
      </c>
      <c r="N21" s="16"/>
      <c r="O21" s="151">
        <v>945047591</v>
      </c>
      <c r="P21" s="16"/>
      <c r="Q21" s="16">
        <f t="shared" si="1"/>
        <v>69549723</v>
      </c>
      <c r="R21" s="81"/>
      <c r="S21" s="151"/>
      <c r="T21" s="81"/>
      <c r="V21" s="17"/>
      <c r="W21" s="81"/>
      <c r="X21" s="81"/>
      <c r="Y21" s="81"/>
    </row>
    <row r="22" spans="1:25">
      <c r="A22" s="98" t="s">
        <v>111</v>
      </c>
      <c r="C22" s="16">
        <f>IFERROR(VLOOKUP(A22,' سهام'!$A$11:$U$32,15,0),0)</f>
        <v>3023223</v>
      </c>
      <c r="D22" s="16"/>
      <c r="E22" s="16">
        <f>IFERROR(VLOOKUP(A22,' سهام'!$A$11:$U$32,21,0),0)</f>
        <v>8111128791</v>
      </c>
      <c r="F22" s="16"/>
      <c r="G22" s="151">
        <v>8878609073</v>
      </c>
      <c r="H22" s="16"/>
      <c r="I22" s="16">
        <f t="shared" si="0"/>
        <v>-767480282</v>
      </c>
      <c r="J22" s="16"/>
      <c r="K22" s="16">
        <f>IFERROR(VLOOKUP(A22,' سهام'!$A$11:$U$32,15,0),0)</f>
        <v>3023223</v>
      </c>
      <c r="L22" s="16"/>
      <c r="M22" s="16">
        <f>IFERROR(VLOOKUP(A22,' سهام'!$A$11:$U$32,21,0),0)</f>
        <v>8111128791</v>
      </c>
      <c r="N22" s="16"/>
      <c r="O22" s="151">
        <v>9367425972</v>
      </c>
      <c r="P22" s="16"/>
      <c r="Q22" s="16">
        <f t="shared" si="1"/>
        <v>-1256297181</v>
      </c>
      <c r="R22" s="81"/>
      <c r="S22" s="151"/>
      <c r="T22" s="81"/>
      <c r="V22" s="17"/>
      <c r="W22" s="81"/>
      <c r="X22" s="81"/>
      <c r="Y22" s="81"/>
    </row>
    <row r="23" spans="1:25">
      <c r="A23" s="98" t="s">
        <v>126</v>
      </c>
      <c r="C23" s="16">
        <f>IFERROR(VLOOKUP(A23,' سهام'!$A$11:$U$32,15,0),0)</f>
        <v>3076998</v>
      </c>
      <c r="D23" s="16"/>
      <c r="E23" s="16">
        <f>IFERROR(VLOOKUP(A23,' سهام'!$A$11:$U$32,21,0),0)</f>
        <v>3138215805</v>
      </c>
      <c r="F23" s="16"/>
      <c r="G23" s="151">
        <v>3369634145</v>
      </c>
      <c r="H23" s="16"/>
      <c r="I23" s="16">
        <f t="shared" si="0"/>
        <v>-231418340</v>
      </c>
      <c r="J23" s="16"/>
      <c r="K23" s="16">
        <f>IFERROR(VLOOKUP(A23,' سهام'!$A$11:$U$32,15,0),0)</f>
        <v>3076998</v>
      </c>
      <c r="L23" s="16"/>
      <c r="M23" s="16">
        <f>IFERROR(VLOOKUP(A23,' سهام'!$A$11:$U$32,21,0),0)</f>
        <v>3138215805</v>
      </c>
      <c r="N23" s="16"/>
      <c r="O23" s="151">
        <v>3700797929</v>
      </c>
      <c r="P23" s="16"/>
      <c r="Q23" s="16">
        <f t="shared" si="1"/>
        <v>-562582124</v>
      </c>
      <c r="R23" s="81"/>
      <c r="S23" s="151"/>
      <c r="T23" s="81"/>
      <c r="V23" s="17"/>
      <c r="W23" s="81"/>
      <c r="X23" s="81"/>
      <c r="Y23" s="81"/>
    </row>
    <row r="24" spans="1:25">
      <c r="A24" s="98" t="s">
        <v>110</v>
      </c>
      <c r="C24" s="16">
        <f>IFERROR(VLOOKUP(A24,' سهام'!$A$11:$U$32,15,0),0)</f>
        <v>631758</v>
      </c>
      <c r="D24" s="16"/>
      <c r="E24" s="16">
        <f>IFERROR(VLOOKUP(A24,' سهام'!$A$11:$U$32,21,0),0)</f>
        <v>5796431142</v>
      </c>
      <c r="F24" s="16"/>
      <c r="G24" s="151">
        <v>5532671546</v>
      </c>
      <c r="H24" s="16"/>
      <c r="I24" s="16">
        <f t="shared" si="0"/>
        <v>263759596</v>
      </c>
      <c r="J24" s="16"/>
      <c r="K24" s="16">
        <f>IFERROR(VLOOKUP(A24,' سهام'!$A$11:$U$32,15,0),0)</f>
        <v>631758</v>
      </c>
      <c r="L24" s="16"/>
      <c r="M24" s="16">
        <f>IFERROR(VLOOKUP(A24,' سهام'!$A$11:$U$32,21,0),0)</f>
        <v>5796431142</v>
      </c>
      <c r="N24" s="16"/>
      <c r="O24" s="151">
        <v>5114796332</v>
      </c>
      <c r="P24" s="16"/>
      <c r="Q24" s="16">
        <f t="shared" si="1"/>
        <v>681634810</v>
      </c>
      <c r="R24" s="81"/>
      <c r="S24" s="151"/>
      <c r="T24" s="81"/>
      <c r="V24" s="17"/>
      <c r="W24" s="81"/>
      <c r="X24" s="81"/>
      <c r="Y24" s="81"/>
    </row>
    <row r="25" spans="1:25">
      <c r="A25" s="98" t="s">
        <v>124</v>
      </c>
      <c r="C25" s="16">
        <f>IFERROR(VLOOKUP(A25,' سهام'!$A$11:$U$32,15,0),0)</f>
        <v>219710</v>
      </c>
      <c r="D25" s="16"/>
      <c r="E25" s="16">
        <f>IFERROR(VLOOKUP(A25,' سهام'!$A$11:$U$32,21,0),0)</f>
        <v>4095051107</v>
      </c>
      <c r="F25" s="16"/>
      <c r="G25" s="151">
        <v>5153379415</v>
      </c>
      <c r="H25" s="16"/>
      <c r="I25" s="16">
        <f t="shared" si="0"/>
        <v>-1058328308</v>
      </c>
      <c r="J25" s="16"/>
      <c r="K25" s="16">
        <f>IFERROR(VLOOKUP(A25,' سهام'!$A$11:$U$32,15,0),0)</f>
        <v>219710</v>
      </c>
      <c r="L25" s="16"/>
      <c r="M25" s="16">
        <f>IFERROR(VLOOKUP(A25,' سهام'!$A$11:$U$32,21,0),0)</f>
        <v>4095051107</v>
      </c>
      <c r="N25" s="16"/>
      <c r="O25" s="151">
        <v>4544796265</v>
      </c>
      <c r="P25" s="16"/>
      <c r="Q25" s="16">
        <f t="shared" si="1"/>
        <v>-449745158</v>
      </c>
      <c r="R25" s="81"/>
      <c r="S25" s="151"/>
      <c r="T25" s="81"/>
      <c r="V25" s="17"/>
      <c r="W25" s="81"/>
      <c r="X25" s="81"/>
      <c r="Y25" s="81"/>
    </row>
    <row r="26" spans="1:25">
      <c r="A26" s="98" t="s">
        <v>127</v>
      </c>
      <c r="C26" s="16">
        <f>IFERROR(VLOOKUP(A26,' سهام'!$A$11:$U$32,15,0),0)</f>
        <v>572500</v>
      </c>
      <c r="D26" s="16"/>
      <c r="E26" s="16">
        <f>IFERROR(VLOOKUP(A26,' سهام'!$A$11:$U$32,21,0),0)</f>
        <v>7386835254</v>
      </c>
      <c r="F26" s="16"/>
      <c r="G26" s="151">
        <v>9065661449</v>
      </c>
      <c r="H26" s="16"/>
      <c r="I26" s="16">
        <f t="shared" si="0"/>
        <v>-1678826195</v>
      </c>
      <c r="J26" s="16"/>
      <c r="K26" s="16">
        <f>IFERROR(VLOOKUP(A26,' سهام'!$A$11:$U$32,15,0),0)</f>
        <v>572500</v>
      </c>
      <c r="L26" s="16"/>
      <c r="M26" s="16">
        <f>IFERROR(VLOOKUP(A26,' سهام'!$A$11:$U$32,21,0),0)</f>
        <v>7386835254</v>
      </c>
      <c r="N26" s="16"/>
      <c r="O26" s="151">
        <v>7563861753</v>
      </c>
      <c r="P26" s="16"/>
      <c r="Q26" s="16">
        <f t="shared" si="1"/>
        <v>-177026499</v>
      </c>
      <c r="R26" s="81"/>
      <c r="S26" s="151"/>
      <c r="T26" s="81"/>
      <c r="V26" s="17"/>
      <c r="W26" s="81"/>
      <c r="X26" s="81"/>
      <c r="Y26" s="81"/>
    </row>
    <row r="27" spans="1:25">
      <c r="A27" s="98" t="s">
        <v>128</v>
      </c>
      <c r="C27" s="16">
        <f>IFERROR(VLOOKUP(A27,' سهام'!$A$11:$U$32,15,0),0)</f>
        <v>200000</v>
      </c>
      <c r="D27" s="16"/>
      <c r="E27" s="16">
        <f>IFERROR(VLOOKUP(A27,' سهام'!$A$11:$U$32,21,0),0)</f>
        <v>2075576400</v>
      </c>
      <c r="F27" s="16"/>
      <c r="G27" s="151">
        <v>1922492700</v>
      </c>
      <c r="H27" s="16"/>
      <c r="I27" s="16">
        <f t="shared" si="0"/>
        <v>153083700</v>
      </c>
      <c r="J27" s="16"/>
      <c r="K27" s="16">
        <f>IFERROR(VLOOKUP(A27,' سهام'!$A$11:$U$32,15,0),0)</f>
        <v>200000</v>
      </c>
      <c r="L27" s="16"/>
      <c r="M27" s="16">
        <f>IFERROR(VLOOKUP(A27,' سهام'!$A$11:$U$32,21,0),0)</f>
        <v>2075576400</v>
      </c>
      <c r="N27" s="16"/>
      <c r="O27" s="151">
        <v>1691534520</v>
      </c>
      <c r="P27" s="16"/>
      <c r="Q27" s="16">
        <f t="shared" si="1"/>
        <v>384041880</v>
      </c>
      <c r="R27" s="81"/>
      <c r="S27" s="151"/>
      <c r="T27" s="81"/>
      <c r="V27" s="17"/>
      <c r="W27" s="81"/>
      <c r="X27" s="81"/>
      <c r="Y27" s="81"/>
    </row>
    <row r="28" spans="1:25" ht="21" customHeight="1">
      <c r="A28" s="98" t="s">
        <v>149</v>
      </c>
      <c r="C28" s="16">
        <f>IFERROR(VLOOKUP(A28,' سهام'!$A$11:$U$32,15,0),0)</f>
        <v>625000</v>
      </c>
      <c r="D28" s="16"/>
      <c r="E28" s="16">
        <f>IFERROR(VLOOKUP(A28,' سهام'!$A$11:$U$32,21,0),0)</f>
        <v>5808979689</v>
      </c>
      <c r="F28" s="16"/>
      <c r="G28" s="151">
        <v>6380788500</v>
      </c>
      <c r="H28" s="16"/>
      <c r="I28" s="16">
        <f t="shared" si="0"/>
        <v>-571808811</v>
      </c>
      <c r="J28" s="16"/>
      <c r="K28" s="16">
        <f>IFERROR(VLOOKUP(A28,' سهام'!$A$11:$U$32,15,0),0)</f>
        <v>625000</v>
      </c>
      <c r="L28" s="16"/>
      <c r="M28" s="16">
        <f>IFERROR(VLOOKUP(A28,' سهام'!$A$11:$U$32,21,0),0)</f>
        <v>5808979689</v>
      </c>
      <c r="N28" s="16"/>
      <c r="O28" s="151">
        <v>6380788500</v>
      </c>
      <c r="P28" s="16"/>
      <c r="Q28" s="16">
        <f t="shared" si="1"/>
        <v>-571808811</v>
      </c>
      <c r="R28" s="81"/>
      <c r="S28" s="151"/>
      <c r="T28" s="151"/>
      <c r="V28" s="17"/>
      <c r="W28" s="81"/>
      <c r="X28" s="81"/>
      <c r="Y28" s="81"/>
    </row>
    <row r="29" spans="1:25" ht="21" customHeight="1">
      <c r="A29" s="98" t="s">
        <v>129</v>
      </c>
      <c r="C29" s="16">
        <f>IFERROR(VLOOKUP(A29,' سهام'!$A$11:$U$32,15,0),0)</f>
        <v>0</v>
      </c>
      <c r="D29" s="16"/>
      <c r="E29" s="16">
        <f>IFERROR(VLOOKUP(A29,' سهام'!$A$11:$U$32,21,0),0)</f>
        <v>0</v>
      </c>
      <c r="F29" s="16"/>
      <c r="G29" s="151">
        <v>-2463809032</v>
      </c>
      <c r="H29" s="16"/>
      <c r="I29" s="16">
        <f t="shared" si="0"/>
        <v>2463809032</v>
      </c>
      <c r="J29" s="16"/>
      <c r="K29" s="16">
        <v>0</v>
      </c>
      <c r="L29" s="16"/>
      <c r="M29" s="16">
        <v>0</v>
      </c>
      <c r="N29" s="16"/>
      <c r="O29" s="151">
        <v>0</v>
      </c>
      <c r="P29" s="16"/>
      <c r="Q29" s="16">
        <f t="shared" si="1"/>
        <v>0</v>
      </c>
      <c r="R29" s="81"/>
      <c r="S29" s="151"/>
      <c r="T29" s="151"/>
      <c r="V29" s="17"/>
      <c r="W29" s="81"/>
      <c r="X29" s="81"/>
      <c r="Y29" s="81"/>
    </row>
    <row r="30" spans="1:25">
      <c r="A30" s="98" t="s">
        <v>106</v>
      </c>
      <c r="C30" s="16">
        <f>IFERROR(VLOOKUP(A30,اوراق!$A$10:$AE$14,25,0),0)</f>
        <v>3000</v>
      </c>
      <c r="D30" s="16"/>
      <c r="E30" s="16">
        <f>IFERROR(VLOOKUP(A30,اوراق!$A$10:$AE$14,31,0),0)</f>
        <v>2155769197</v>
      </c>
      <c r="F30" s="16"/>
      <c r="G30" s="151">
        <v>2167317105</v>
      </c>
      <c r="H30" s="16"/>
      <c r="I30" s="16">
        <f t="shared" si="0"/>
        <v>-11547908</v>
      </c>
      <c r="J30" s="16"/>
      <c r="K30" s="16">
        <f>IFERROR(VLOOKUP(A30,اوراق!$A$10:$AE$14,25,0),0)</f>
        <v>3000</v>
      </c>
      <c r="L30" s="16"/>
      <c r="M30" s="16">
        <f>IFERROR(VLOOKUP(A30,اوراق!$A$10:$AE$14,31,0),0)</f>
        <v>2155769197</v>
      </c>
      <c r="N30" s="16"/>
      <c r="O30" s="151">
        <v>2082373207</v>
      </c>
      <c r="P30" s="16"/>
      <c r="Q30" s="16">
        <f t="shared" si="1"/>
        <v>73395990</v>
      </c>
      <c r="R30" s="81"/>
      <c r="S30" s="151"/>
      <c r="T30" s="151"/>
      <c r="V30" s="17"/>
      <c r="W30" s="81"/>
      <c r="X30" s="81"/>
      <c r="Y30" s="81"/>
    </row>
    <row r="31" spans="1:25">
      <c r="A31" s="98" t="s">
        <v>112</v>
      </c>
      <c r="C31" s="16">
        <f>IFERROR(VLOOKUP(A31,اوراق!$A$10:$AE$14,25,0),0)</f>
        <v>15220</v>
      </c>
      <c r="D31" s="16"/>
      <c r="E31" s="16">
        <f>IFERROR(VLOOKUP(A31,اوراق!$A$10:$AE$14,31,0),0)</f>
        <v>10390180240</v>
      </c>
      <c r="F31" s="16"/>
      <c r="G31" s="151">
        <v>10535048379</v>
      </c>
      <c r="H31" s="16"/>
      <c r="I31" s="16">
        <f t="shared" si="0"/>
        <v>-144868139</v>
      </c>
      <c r="J31" s="16"/>
      <c r="K31" s="16">
        <f>IFERROR(VLOOKUP(A31,اوراق!$A$10:$AE$14,25,0),0)</f>
        <v>15220</v>
      </c>
      <c r="L31" s="16"/>
      <c r="M31" s="16">
        <f>IFERROR(VLOOKUP(A31,اوراق!$A$10:$AE$14,31,0),0)</f>
        <v>10390180240</v>
      </c>
      <c r="N31" s="16"/>
      <c r="O31" s="151">
        <v>10260017426</v>
      </c>
      <c r="P31" s="16"/>
      <c r="Q31" s="16">
        <f t="shared" si="1"/>
        <v>130162814</v>
      </c>
      <c r="R31" s="81"/>
      <c r="S31" s="151"/>
      <c r="T31" s="151"/>
      <c r="V31" s="17"/>
      <c r="W31" s="81"/>
      <c r="X31" s="81"/>
      <c r="Y31" s="81"/>
    </row>
    <row r="32" spans="1:25" ht="21.75" customHeight="1">
      <c r="A32" s="98" t="s">
        <v>130</v>
      </c>
      <c r="C32" s="16">
        <f>IFERROR(VLOOKUP(A32,اوراق!$A$10:$AE$14,25,0),0)</f>
        <v>8000</v>
      </c>
      <c r="D32" s="16"/>
      <c r="E32" s="16">
        <f>IFERROR(VLOOKUP(A32,اوراق!$A$10:$AE$14,31,0),0)</f>
        <v>4959021016</v>
      </c>
      <c r="F32" s="16"/>
      <c r="G32" s="151">
        <v>5051404268</v>
      </c>
      <c r="H32" s="16"/>
      <c r="I32" s="16">
        <f t="shared" si="0"/>
        <v>-92383252</v>
      </c>
      <c r="J32" s="16"/>
      <c r="K32" s="16">
        <f>IFERROR(VLOOKUP(A32,اوراق!$A$10:$AE$14,25,0),0)</f>
        <v>8000</v>
      </c>
      <c r="L32" s="16"/>
      <c r="M32" s="16">
        <f>IFERROR(VLOOKUP(A32,اوراق!$A$10:$AE$14,31,0),0)</f>
        <v>4959021016</v>
      </c>
      <c r="N32" s="16"/>
      <c r="O32" s="151">
        <v>4953173588</v>
      </c>
      <c r="P32" s="16"/>
      <c r="Q32" s="16">
        <f t="shared" si="1"/>
        <v>5847428</v>
      </c>
      <c r="R32" s="81"/>
      <c r="S32" s="151"/>
      <c r="T32" s="81"/>
      <c r="V32" s="17"/>
      <c r="W32" s="81"/>
      <c r="X32" s="81"/>
      <c r="Y32" s="81"/>
    </row>
    <row r="33" spans="1:25" ht="21.75" customHeight="1">
      <c r="A33" s="98" t="s">
        <v>113</v>
      </c>
      <c r="C33" s="16">
        <f>IFERROR(VLOOKUP(A33,اوراق!$A$10:$AE$14,25,0),0)</f>
        <v>24300</v>
      </c>
      <c r="D33" s="16"/>
      <c r="E33" s="16">
        <f>IFERROR(VLOOKUP(A33,اوراق!$A$10:$AE$14,31,0),0)</f>
        <v>15863080298</v>
      </c>
      <c r="F33" s="16"/>
      <c r="G33" s="151">
        <v>16135390241</v>
      </c>
      <c r="H33" s="16"/>
      <c r="I33" s="16">
        <f t="shared" si="0"/>
        <v>-272309943</v>
      </c>
      <c r="J33" s="16"/>
      <c r="K33" s="16">
        <f>IFERROR(VLOOKUP(A33,اوراق!$A$10:$AE$14,25,0),0)</f>
        <v>24300</v>
      </c>
      <c r="L33" s="16"/>
      <c r="M33" s="16">
        <f>IFERROR(VLOOKUP(A33,اوراق!$A$10:$AE$14,31,0),0)</f>
        <v>15863080298</v>
      </c>
      <c r="N33" s="16"/>
      <c r="O33" s="151">
        <v>15809937367</v>
      </c>
      <c r="P33" s="16"/>
      <c r="Q33" s="16">
        <f t="shared" si="1"/>
        <v>53142931</v>
      </c>
      <c r="R33" s="81"/>
      <c r="S33" s="151"/>
      <c r="T33" s="81"/>
      <c r="V33" s="17"/>
      <c r="W33" s="81"/>
      <c r="X33" s="81"/>
      <c r="Y33" s="81"/>
    </row>
    <row r="34" spans="1:25" ht="21.75" customHeight="1">
      <c r="A34" s="98" t="s">
        <v>114</v>
      </c>
      <c r="C34" s="16">
        <f>IFERROR(VLOOKUP(A34,اوراق!$A$10:$AE$14,25,0),0)</f>
        <v>27300</v>
      </c>
      <c r="D34" s="16"/>
      <c r="E34" s="16">
        <f>IFERROR(VLOOKUP(A34,اوراق!$A$10:$AE$14,31,0),0)</f>
        <v>14316254710</v>
      </c>
      <c r="F34" s="16"/>
      <c r="G34" s="151">
        <v>14858607391</v>
      </c>
      <c r="H34" s="16"/>
      <c r="I34" s="16">
        <f t="shared" si="0"/>
        <v>-542352681</v>
      </c>
      <c r="J34" s="16"/>
      <c r="K34" s="16">
        <f>IFERROR(VLOOKUP(A34,اوراق!$A$10:$AE$14,25,0),0)</f>
        <v>27300</v>
      </c>
      <c r="L34" s="16"/>
      <c r="M34" s="16">
        <f>IFERROR(VLOOKUP(A34,اوراق!$A$10:$AE$14,31,0),0)</f>
        <v>14316254710</v>
      </c>
      <c r="N34" s="16"/>
      <c r="O34" s="151">
        <v>14976399978</v>
      </c>
      <c r="P34" s="16"/>
      <c r="Q34" s="16">
        <f t="shared" si="1"/>
        <v>-660145268</v>
      </c>
      <c r="R34" s="81"/>
      <c r="S34" s="151"/>
      <c r="T34" s="81"/>
      <c r="V34" s="17"/>
      <c r="W34" s="81"/>
      <c r="X34" s="81"/>
      <c r="Y34" s="81"/>
    </row>
    <row r="35" spans="1:25" ht="23.25" thickBot="1">
      <c r="A35" s="98"/>
      <c r="B35" s="98"/>
      <c r="C35" s="98"/>
      <c r="D35" s="98"/>
      <c r="E35" s="152">
        <f>SUM(E8:E34)</f>
        <v>143476941495</v>
      </c>
      <c r="F35" s="32"/>
      <c r="G35" s="152">
        <f>SUM(G8:G34)</f>
        <v>147790483376</v>
      </c>
      <c r="H35" s="32"/>
      <c r="I35" s="152">
        <f>SUM(I8:I34)</f>
        <v>-4313541881</v>
      </c>
      <c r="J35" s="32"/>
      <c r="K35" s="16"/>
      <c r="L35" s="32"/>
      <c r="M35" s="152">
        <f>SUM(M8:M34)</f>
        <v>143476941495</v>
      </c>
      <c r="N35" s="32"/>
      <c r="O35" s="152">
        <f>SUM(O8:O34)</f>
        <v>144097723079</v>
      </c>
      <c r="P35" s="32"/>
      <c r="Q35" s="152">
        <f>SUM(Q8:Q34)</f>
        <v>-620781584</v>
      </c>
      <c r="R35" s="81"/>
      <c r="S35" s="81"/>
      <c r="T35" s="81"/>
    </row>
    <row r="36" spans="1:25" ht="23.25" thickTop="1">
      <c r="A36" s="69"/>
      <c r="B36" s="69"/>
      <c r="C36" s="75"/>
      <c r="D36" s="69"/>
      <c r="E36" s="55"/>
      <c r="F36" s="32"/>
      <c r="G36" s="55"/>
      <c r="H36" s="32"/>
      <c r="I36" s="55"/>
      <c r="J36" s="32"/>
      <c r="K36" s="75"/>
      <c r="L36" s="32"/>
      <c r="M36" s="55"/>
      <c r="N36" s="32"/>
      <c r="O36" s="55"/>
      <c r="P36" s="32"/>
      <c r="Q36" s="55"/>
      <c r="R36" s="81"/>
      <c r="S36" s="81"/>
      <c r="T36" s="81"/>
    </row>
    <row r="37" spans="1:25" ht="24.75" customHeight="1">
      <c r="A37" s="334" t="s">
        <v>39</v>
      </c>
      <c r="B37" s="335"/>
      <c r="C37" s="335"/>
      <c r="D37" s="335"/>
      <c r="E37" s="335"/>
      <c r="F37" s="335"/>
      <c r="G37" s="335"/>
      <c r="H37" s="335"/>
      <c r="I37" s="335"/>
      <c r="J37" s="335"/>
      <c r="K37" s="335"/>
      <c r="L37" s="335"/>
      <c r="M37" s="335"/>
      <c r="N37" s="335"/>
      <c r="O37" s="335"/>
      <c r="P37" s="335"/>
      <c r="Q37" s="336"/>
    </row>
    <row r="38" spans="1:25" ht="10.5" customHeight="1">
      <c r="Q38" s="96"/>
    </row>
    <row r="39" spans="1:25" s="76" customFormat="1"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96"/>
      <c r="U39" s="47"/>
    </row>
    <row r="40" spans="1:25" s="2" customFormat="1"/>
    <row r="41" spans="1:25" s="2" customFormat="1"/>
    <row r="42" spans="1:25" s="76" customFormat="1"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96"/>
      <c r="U42" s="47"/>
    </row>
    <row r="43" spans="1:25" s="16" customFormat="1" ht="22.5">
      <c r="I43" s="248"/>
      <c r="Q43" s="248"/>
    </row>
    <row r="44" spans="1:25" s="26" customFormat="1"/>
    <row r="45" spans="1:25" s="26" customFormat="1"/>
    <row r="46" spans="1:25" s="26" customFormat="1"/>
    <row r="47" spans="1:25" s="26" customFormat="1"/>
    <row r="48" spans="1:25" s="26" customFormat="1"/>
    <row r="49" s="26" customFormat="1"/>
    <row r="50" s="33" customFormat="1" ht="24"/>
    <row r="51" s="33" customFormat="1" ht="24"/>
    <row r="52" s="33" customFormat="1" ht="24"/>
    <row r="53" s="33" customFormat="1" ht="24"/>
    <row r="54" s="33" customFormat="1" ht="24"/>
  </sheetData>
  <autoFilter ref="A7:Q7" xr:uid="{00000000-0009-0000-0000-000008000000}">
    <sortState xmlns:xlrd2="http://schemas.microsoft.com/office/spreadsheetml/2017/richdata2" ref="A8:Q33">
      <sortCondition descending="1" ref="Q7"/>
    </sortState>
  </autoFilter>
  <mergeCells count="7">
    <mergeCell ref="A37:Q37"/>
    <mergeCell ref="C6:I6"/>
    <mergeCell ref="K6:Q6"/>
    <mergeCell ref="A5:H5"/>
    <mergeCell ref="A1:Q1"/>
    <mergeCell ref="A2:Q2"/>
    <mergeCell ref="A3:Q3"/>
  </mergeCells>
  <printOptions horizontalCentered="1"/>
  <pageMargins left="0.25" right="0.25" top="0.75" bottom="0.75" header="0.3" footer="0.3"/>
  <pageSetup paperSize="9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19</vt:i4>
      </vt:variant>
    </vt:vector>
  </HeadingPairs>
  <TitlesOfParts>
    <vt:vector size="34" baseType="lpstr">
      <vt:lpstr>روکش</vt:lpstr>
      <vt:lpstr> سهام</vt:lpstr>
      <vt:lpstr>اوراق</vt:lpstr>
      <vt:lpstr>تعدیل اوراق</vt:lpstr>
      <vt:lpstr>سپرده</vt:lpstr>
      <vt:lpstr>درآمدها</vt:lpstr>
      <vt:lpstr>درآمد سرمایه گذاری در سهام </vt:lpstr>
      <vt:lpstr>درآمد سرمایه گذاری در اوراق بها</vt:lpstr>
      <vt:lpstr>درآمد سپرده بانکی</vt:lpstr>
      <vt:lpstr>سایر درآمدها</vt:lpstr>
      <vt:lpstr>درآمد سود سهام</vt:lpstr>
      <vt:lpstr>سود اوراق بهادار</vt:lpstr>
      <vt:lpstr>سود سپرده بانکی</vt:lpstr>
      <vt:lpstr>درآمد ناشی ازفروش</vt:lpstr>
      <vt:lpstr>درآمد ناشی از تغییر قیمت  </vt:lpstr>
      <vt:lpstr>' سهام'!Print_Area</vt:lpstr>
      <vt:lpstr>اوراق!Print_Area</vt:lpstr>
      <vt:lpstr>'تعدیل اوراق'!Print_Area</vt:lpstr>
      <vt:lpstr>'درآمد سپرده بانکی'!Print_Area</vt:lpstr>
      <vt:lpstr>'درآمد سرمایه گذاری در اوراق بها'!Print_Area</vt:lpstr>
      <vt:lpstr>'درآمد سرمایه گذاری در سهام '!Print_Area</vt:lpstr>
      <vt:lpstr>'درآمد سود سهام'!Print_Area</vt:lpstr>
      <vt:lpstr>'درآمد ناشی از تغییر قیمت  '!Print_Area</vt:lpstr>
      <vt:lpstr>'درآمد ناشی ازفروش'!Print_Area</vt:lpstr>
      <vt:lpstr>درآمدها!Print_Area</vt:lpstr>
      <vt:lpstr>روکش!Print_Area</vt:lpstr>
      <vt:lpstr>'سایر درآمدها'!Print_Area</vt:lpstr>
      <vt:lpstr>سپرده!Print_Area</vt:lpstr>
      <vt:lpstr>'سود اوراق بهادار'!Print_Area</vt:lpstr>
      <vt:lpstr>'سود سپرده بانکی'!Print_Area</vt:lpstr>
      <vt:lpstr>' سهام'!Print_Titles</vt:lpstr>
      <vt:lpstr>'درآمد سرمایه گذاری در سهام '!Print_Titles</vt:lpstr>
      <vt:lpstr>'درآمد ناشی از تغییر قیمت  '!Print_Titles</vt:lpstr>
      <vt:lpstr>'درآمد ناشی ازفروش'!Print_Titles</vt:lpstr>
    </vt:vector>
  </TitlesOfParts>
  <Company>15KHODAEI-A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Akbar Iranshahi</dc:creator>
  <cp:lastModifiedBy>Fatemeh Bakhtiari</cp:lastModifiedBy>
  <cp:lastPrinted>2023-10-25T16:54:14Z</cp:lastPrinted>
  <dcterms:created xsi:type="dcterms:W3CDTF">2017-11-22T14:26:20Z</dcterms:created>
  <dcterms:modified xsi:type="dcterms:W3CDTF">2024-05-29T13:25:10Z</dcterms:modified>
</cp:coreProperties>
</file>