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Y:\fund\8 صندوق با تضمین کیان\گزارش ماهانه\12-اسفند\"/>
    </mc:Choice>
  </mc:AlternateContent>
  <xr:revisionPtr revIDLastSave="0" documentId="13_ncr:1_{6B6FBE16-F11A-41D8-ADC3-C7074C9EC572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20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سهام'!$A$10:$W$10</definedName>
    <definedName name="_xlnm._FilterDatabase" localSheetId="3" hidden="1">'تعدیل اوراق'!$A$9:$M$9</definedName>
    <definedName name="_xlnm._FilterDatabase" localSheetId="12" hidden="1">'درآمد سپرده بانکی'!$A$8:$L$8</definedName>
    <definedName name="_xlnm._FilterDatabase" localSheetId="11" hidden="1">'درآمد سرمایه گذاری در اوراق بها'!$A$10:$Q$10</definedName>
    <definedName name="_xlnm._FilterDatabase" localSheetId="10" hidden="1">'درآمد سرمایه گذاری در سهام '!$A$10:$U$10</definedName>
    <definedName name="_xlnm._FilterDatabase" localSheetId="7" hidden="1">'درآمد سود سهام'!$A$8:$S$8</definedName>
    <definedName name="_xlnm._FilterDatabase" localSheetId="9" hidden="1">'درآمد ناشی از تغییر قیمت  '!$A$7:$Q$7</definedName>
    <definedName name="_xlnm._FilterDatabase" localSheetId="8" hidden="1">'درآمد ناشی ازفروش'!$A$7:$Q$7</definedName>
    <definedName name="_xlnm._FilterDatabase" localSheetId="4" hidden="1">سپرده!$A$9:$S$9</definedName>
    <definedName name="_xlnm._FilterDatabase" localSheetId="6" hidden="1">'سود اوراق بهادار و سپرده بانکی'!$A$7:$R$7</definedName>
    <definedName name="a">#REF!</definedName>
    <definedName name="bb">#REF!</definedName>
    <definedName name="_xlnm.Print_Area" localSheetId="1">' سهام'!$A$1:$W$34</definedName>
    <definedName name="_xlnm.Print_Area" localSheetId="2">اوراق!$A$1:$AG$16</definedName>
    <definedName name="_xlnm.Print_Area" localSheetId="3">'تعدیل اوراق'!$A$1:$M$11</definedName>
    <definedName name="_xlnm.Print_Area" localSheetId="12">'درآمد سپرده بانکی'!$A$1:$L$13</definedName>
    <definedName name="_xlnm.Print_Area" localSheetId="11">'درآمد سرمایه گذاری در اوراق بها'!$A$1:$Q$17</definedName>
    <definedName name="_xlnm.Print_Area" localSheetId="10">'درآمد سرمایه گذاری در سهام '!$A$1:$U$40</definedName>
    <definedName name="_xlnm.Print_Area" localSheetId="7">'درآمد سود سهام'!$A$1:$S$12</definedName>
    <definedName name="_xlnm.Print_Area" localSheetId="9">'درآمد ناشی از تغییر قیمت  '!$A$1:$Q$38</definedName>
    <definedName name="_xlnm.Print_Area" localSheetId="8">'درآمد ناشی ازفروش'!$A$1:$Q$40</definedName>
    <definedName name="_xlnm.Print_Area" localSheetId="5">درآمدها!$A$1:$I$12</definedName>
    <definedName name="_xlnm.Print_Area" localSheetId="0">روکش!$A$1:$J$36</definedName>
    <definedName name="_xlnm.Print_Area" localSheetId="13">'سایر درآمدها'!$A$1:$E$13</definedName>
    <definedName name="_xlnm.Print_Area" localSheetId="4">سپرده!$A$1:$S$15</definedName>
    <definedName name="_xlnm.Print_Area" localSheetId="6">'سود اوراق بهادار و سپرده بانکی'!$A$1:$R$13</definedName>
    <definedName name="_xlnm.Print_Titles" localSheetId="1">' سهام'!$8:$10</definedName>
    <definedName name="_xlnm.Print_Titles" localSheetId="10">'درآمد سرمایه گذاری در سهام '!$7:$10</definedName>
    <definedName name="_xlnm.Print_Titles" localSheetId="9">'درآمد ناشی از تغییر قیمت  '!$6:$7</definedName>
    <definedName name="_xlnm.Print_Titles" localSheetId="8">'درآمد ناشی ازفروش'!$6:$7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17" l="1"/>
  <c r="AG12" i="17"/>
  <c r="AG13" i="17"/>
  <c r="AG14" i="17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J33" i="1"/>
  <c r="M33" i="1"/>
  <c r="U33" i="1" l="1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8" i="15"/>
  <c r="I9" i="7"/>
  <c r="E9" i="7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2" i="5"/>
  <c r="M33" i="5"/>
  <c r="M34" i="5"/>
  <c r="M35" i="5"/>
  <c r="M36" i="5"/>
  <c r="M37" i="5"/>
  <c r="M38" i="5"/>
  <c r="M11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2" i="5"/>
  <c r="C33" i="5"/>
  <c r="C34" i="5"/>
  <c r="C35" i="5"/>
  <c r="C36" i="5"/>
  <c r="C37" i="5"/>
  <c r="C38" i="5"/>
  <c r="Q15" i="17"/>
  <c r="M9" i="18"/>
  <c r="C31" i="5" s="1"/>
  <c r="R8" i="13"/>
  <c r="I11" i="7" s="1"/>
  <c r="Q37" i="5"/>
  <c r="Q38" i="5"/>
  <c r="O37" i="5"/>
  <c r="G38" i="5"/>
  <c r="E37" i="5"/>
  <c r="G12" i="6"/>
  <c r="G14" i="6"/>
  <c r="G15" i="6"/>
  <c r="E31" i="15"/>
  <c r="I31" i="15" s="1"/>
  <c r="E32" i="15"/>
  <c r="I32" i="15" s="1"/>
  <c r="E33" i="15"/>
  <c r="I33" i="15" s="1"/>
  <c r="E34" i="15"/>
  <c r="I34" i="15" s="1"/>
  <c r="C31" i="15"/>
  <c r="C32" i="15"/>
  <c r="C33" i="15"/>
  <c r="C34" i="15"/>
  <c r="P11" i="13"/>
  <c r="R9" i="13"/>
  <c r="R10" i="13"/>
  <c r="I10" i="7" s="1"/>
  <c r="L9" i="13"/>
  <c r="L10" i="13"/>
  <c r="E10" i="7" s="1"/>
  <c r="I10" i="18"/>
  <c r="S11" i="2"/>
  <c r="S10" i="2"/>
  <c r="S12" i="2"/>
  <c r="K13" i="2"/>
  <c r="O15" i="17"/>
  <c r="E33" i="1"/>
  <c r="K10" i="20"/>
  <c r="K11" i="20" s="1"/>
  <c r="C10" i="20"/>
  <c r="Q35" i="15" l="1"/>
  <c r="S37" i="5"/>
  <c r="U37" i="5" s="1"/>
  <c r="E12" i="8"/>
  <c r="C12" i="8"/>
  <c r="K16" i="6"/>
  <c r="C16" i="6"/>
  <c r="C39" i="5"/>
  <c r="O35" i="14"/>
  <c r="G35" i="14"/>
  <c r="Q36" i="5"/>
  <c r="O35" i="15"/>
  <c r="M35" i="15"/>
  <c r="G35" i="15"/>
  <c r="L8" i="13"/>
  <c r="E11" i="7" s="1"/>
  <c r="N11" i="13"/>
  <c r="J11" i="13"/>
  <c r="H11" i="13"/>
  <c r="Q13" i="2"/>
  <c r="O13" i="2"/>
  <c r="M13" i="2"/>
  <c r="AG10" i="17"/>
  <c r="AE15" i="17"/>
  <c r="AC15" i="17"/>
  <c r="W15" i="17"/>
  <c r="T15" i="17"/>
  <c r="W11" i="1"/>
  <c r="S33" i="1"/>
  <c r="G33" i="1"/>
  <c r="A3" i="20"/>
  <c r="A3" i="2"/>
  <c r="AG15" i="17" l="1"/>
  <c r="W33" i="1"/>
  <c r="L11" i="13"/>
  <c r="R11" i="13"/>
  <c r="S13" i="2"/>
  <c r="O12" i="6" l="1"/>
  <c r="O14" i="6"/>
  <c r="O15" i="6"/>
  <c r="Q22" i="5"/>
  <c r="Q24" i="5"/>
  <c r="Q26" i="5"/>
  <c r="O29" i="5"/>
  <c r="E29" i="5"/>
  <c r="M14" i="14"/>
  <c r="Q14" i="14" s="1"/>
  <c r="M15" i="14"/>
  <c r="Q15" i="14" s="1"/>
  <c r="M16" i="14"/>
  <c r="Q16" i="14" s="1"/>
  <c r="M17" i="14"/>
  <c r="Q17" i="14" s="1"/>
  <c r="M18" i="14"/>
  <c r="Q18" i="14" s="1"/>
  <c r="M19" i="14"/>
  <c r="Q19" i="14" s="1"/>
  <c r="M20" i="14"/>
  <c r="Q20" i="14" s="1"/>
  <c r="M21" i="14"/>
  <c r="Q21" i="14" s="1"/>
  <c r="M22" i="14"/>
  <c r="M23" i="14"/>
  <c r="M24" i="14"/>
  <c r="M25" i="14"/>
  <c r="M26" i="14"/>
  <c r="M27" i="14"/>
  <c r="Q27" i="14" s="1"/>
  <c r="M28" i="14"/>
  <c r="Q28" i="14" s="1"/>
  <c r="O28" i="5" s="1"/>
  <c r="M29" i="14"/>
  <c r="Q29" i="14" s="1"/>
  <c r="M30" i="14"/>
  <c r="Q30" i="14" s="1"/>
  <c r="M31" i="14"/>
  <c r="Q31" i="14" s="1"/>
  <c r="M32" i="14"/>
  <c r="Q32" i="14" s="1"/>
  <c r="M33" i="14"/>
  <c r="Q33" i="14" s="1"/>
  <c r="M34" i="14"/>
  <c r="Q34" i="14" s="1"/>
  <c r="O38" i="5" s="1"/>
  <c r="S38" i="5" s="1"/>
  <c r="U38" i="5" s="1"/>
  <c r="M13" i="14"/>
  <c r="M9" i="14"/>
  <c r="Q9" i="14" s="1"/>
  <c r="M10" i="14"/>
  <c r="Q10" i="14" s="1"/>
  <c r="M11" i="14"/>
  <c r="Q11" i="14" s="1"/>
  <c r="M12" i="14"/>
  <c r="Q12" i="14" s="1"/>
  <c r="M8" i="14"/>
  <c r="Q8" i="14" s="1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13" i="14"/>
  <c r="K9" i="14"/>
  <c r="K10" i="14"/>
  <c r="K11" i="14"/>
  <c r="K12" i="14"/>
  <c r="K8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13" i="14"/>
  <c r="E9" i="14"/>
  <c r="I9" i="14" s="1"/>
  <c r="E12" i="6" s="1"/>
  <c r="I12" i="6" s="1"/>
  <c r="E10" i="14"/>
  <c r="I10" i="14" s="1"/>
  <c r="E13" i="6" s="1"/>
  <c r="E11" i="14"/>
  <c r="I11" i="14" s="1"/>
  <c r="E14" i="6" s="1"/>
  <c r="I14" i="6" s="1"/>
  <c r="E12" i="14"/>
  <c r="I12" i="14" s="1"/>
  <c r="E15" i="6" s="1"/>
  <c r="I15" i="6" s="1"/>
  <c r="E8" i="14"/>
  <c r="I8" i="14" s="1"/>
  <c r="E11" i="6" s="1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13" i="14"/>
  <c r="C9" i="14"/>
  <c r="C10" i="14"/>
  <c r="C11" i="14"/>
  <c r="C12" i="14"/>
  <c r="C8" i="14"/>
  <c r="G37" i="5"/>
  <c r="I37" i="5" s="1"/>
  <c r="K37" i="5" s="1"/>
  <c r="C29" i="15"/>
  <c r="E29" i="15"/>
  <c r="I29" i="15" s="1"/>
  <c r="C30" i="15"/>
  <c r="E30" i="15"/>
  <c r="I30" i="15" s="1"/>
  <c r="C20" i="15"/>
  <c r="C21" i="15"/>
  <c r="E20" i="15"/>
  <c r="I20" i="15" s="1"/>
  <c r="E21" i="15"/>
  <c r="I21" i="15" s="1"/>
  <c r="E22" i="15"/>
  <c r="I22" i="15" s="1"/>
  <c r="E23" i="15"/>
  <c r="I23" i="15" s="1"/>
  <c r="E8" i="15"/>
  <c r="I8" i="15" s="1"/>
  <c r="I21" i="14" l="1"/>
  <c r="I32" i="14"/>
  <c r="I26" i="14"/>
  <c r="I20" i="14"/>
  <c r="E19" i="5" s="1"/>
  <c r="I14" i="14"/>
  <c r="I33" i="14"/>
  <c r="I31" i="14"/>
  <c r="I19" i="14"/>
  <c r="I27" i="14"/>
  <c r="I15" i="14"/>
  <c r="I30" i="14"/>
  <c r="I18" i="14"/>
  <c r="I29" i="14"/>
  <c r="I17" i="14"/>
  <c r="I34" i="14"/>
  <c r="E38" i="5" s="1"/>
  <c r="I38" i="5" s="1"/>
  <c r="K38" i="5" s="1"/>
  <c r="I28" i="14"/>
  <c r="I16" i="14"/>
  <c r="I13" i="14"/>
  <c r="E11" i="5" s="1"/>
  <c r="E35" i="14"/>
  <c r="I23" i="14"/>
  <c r="M35" i="14"/>
  <c r="Q13" i="14"/>
  <c r="Q23" i="14"/>
  <c r="O23" i="5" s="1"/>
  <c r="I22" i="14"/>
  <c r="E22" i="5" s="1"/>
  <c r="Q22" i="14"/>
  <c r="I25" i="14"/>
  <c r="E25" i="5" s="1"/>
  <c r="Q26" i="14"/>
  <c r="O26" i="5" s="1"/>
  <c r="S26" i="5" s="1"/>
  <c r="U26" i="5" s="1"/>
  <c r="Q25" i="14"/>
  <c r="I24" i="14"/>
  <c r="E24" i="5" s="1"/>
  <c r="Q24" i="14"/>
  <c r="O24" i="5" s="1"/>
  <c r="S24" i="5" s="1"/>
  <c r="U24" i="5" s="1"/>
  <c r="C11" i="15"/>
  <c r="C25" i="15"/>
  <c r="Q30" i="5"/>
  <c r="Q23" i="5"/>
  <c r="Q31" i="5"/>
  <c r="Q25" i="5"/>
  <c r="Q29" i="5"/>
  <c r="S29" i="5" s="1"/>
  <c r="U29" i="5" s="1"/>
  <c r="Q27" i="5"/>
  <c r="O13" i="6"/>
  <c r="O19" i="5"/>
  <c r="E9" i="15"/>
  <c r="C9" i="15"/>
  <c r="C8" i="15"/>
  <c r="E11" i="15"/>
  <c r="I11" i="15" s="1"/>
  <c r="E12" i="15"/>
  <c r="I12" i="15" s="1"/>
  <c r="E13" i="15"/>
  <c r="I13" i="15" s="1"/>
  <c r="E14" i="15"/>
  <c r="I14" i="15" s="1"/>
  <c r="E15" i="15"/>
  <c r="I15" i="15" s="1"/>
  <c r="E16" i="15"/>
  <c r="I16" i="15" s="1"/>
  <c r="E17" i="15"/>
  <c r="I17" i="15" s="1"/>
  <c r="E18" i="15"/>
  <c r="I18" i="15" s="1"/>
  <c r="E19" i="15"/>
  <c r="I19" i="15" s="1"/>
  <c r="G25" i="5"/>
  <c r="E24" i="15"/>
  <c r="I24" i="15" s="1"/>
  <c r="E25" i="15"/>
  <c r="I25" i="15" s="1"/>
  <c r="E26" i="15"/>
  <c r="I26" i="15" s="1"/>
  <c r="E27" i="15"/>
  <c r="I27" i="15" s="1"/>
  <c r="E28" i="15"/>
  <c r="I28" i="15" s="1"/>
  <c r="E10" i="15"/>
  <c r="I10" i="15" s="1"/>
  <c r="C13" i="15"/>
  <c r="C14" i="15"/>
  <c r="C15" i="15"/>
  <c r="C16" i="15"/>
  <c r="C17" i="15"/>
  <c r="C18" i="15"/>
  <c r="C19" i="15"/>
  <c r="C22" i="15"/>
  <c r="C23" i="15"/>
  <c r="C24" i="15"/>
  <c r="C26" i="15"/>
  <c r="C27" i="15"/>
  <c r="C28" i="15"/>
  <c r="C10" i="15"/>
  <c r="C12" i="15"/>
  <c r="I9" i="15" l="1"/>
  <c r="G11" i="6" s="1"/>
  <c r="I11" i="6" s="1"/>
  <c r="E30" i="5"/>
  <c r="E28" i="5"/>
  <c r="E35" i="15"/>
  <c r="G13" i="6"/>
  <c r="I13" i="6" s="1"/>
  <c r="O25" i="5"/>
  <c r="S25" i="5" s="1"/>
  <c r="U25" i="5" s="1"/>
  <c r="O22" i="5"/>
  <c r="S22" i="5" s="1"/>
  <c r="U22" i="5" s="1"/>
  <c r="E23" i="5"/>
  <c r="G26" i="5"/>
  <c r="S23" i="5"/>
  <c r="U23" i="5" s="1"/>
  <c r="I25" i="5"/>
  <c r="K25" i="5" s="1"/>
  <c r="Q35" i="14"/>
  <c r="G27" i="5"/>
  <c r="G17" i="5"/>
  <c r="G32" i="5"/>
  <c r="G11" i="5"/>
  <c r="G22" i="5"/>
  <c r="G23" i="5"/>
  <c r="G20" i="5"/>
  <c r="I35" i="14"/>
  <c r="Q11" i="5"/>
  <c r="Q28" i="5"/>
  <c r="S28" i="5" s="1"/>
  <c r="U28" i="5" s="1"/>
  <c r="G15" i="5"/>
  <c r="G14" i="5"/>
  <c r="G12" i="5"/>
  <c r="E18" i="5"/>
  <c r="E13" i="5"/>
  <c r="E34" i="5"/>
  <c r="E15" i="5"/>
  <c r="E32" i="5"/>
  <c r="E16" i="5"/>
  <c r="E33" i="5"/>
  <c r="Q14" i="5"/>
  <c r="Q13" i="5"/>
  <c r="Q12" i="5"/>
  <c r="O11" i="6"/>
  <c r="O16" i="6" s="1"/>
  <c r="Q35" i="5"/>
  <c r="Q34" i="5"/>
  <c r="Q33" i="5"/>
  <c r="Q32" i="5"/>
  <c r="Q21" i="5"/>
  <c r="Q20" i="5"/>
  <c r="Q19" i="5"/>
  <c r="S19" i="5" s="1"/>
  <c r="U19" i="5" s="1"/>
  <c r="Q18" i="5"/>
  <c r="Q17" i="5"/>
  <c r="Q16" i="5"/>
  <c r="Q15" i="5"/>
  <c r="M11" i="6"/>
  <c r="M15" i="6"/>
  <c r="Q15" i="6" s="1"/>
  <c r="G31" i="5" l="1"/>
  <c r="G28" i="5"/>
  <c r="I28" i="5" s="1"/>
  <c r="K28" i="5" s="1"/>
  <c r="G30" i="5"/>
  <c r="I30" i="5" s="1"/>
  <c r="K30" i="5" s="1"/>
  <c r="G35" i="5"/>
  <c r="G33" i="5"/>
  <c r="I33" i="5" s="1"/>
  <c r="K33" i="5" s="1"/>
  <c r="G24" i="5"/>
  <c r="I24" i="5" s="1"/>
  <c r="K24" i="5" s="1"/>
  <c r="I35" i="15"/>
  <c r="Q39" i="5"/>
  <c r="I22" i="5"/>
  <c r="K22" i="5" s="1"/>
  <c r="I15" i="5"/>
  <c r="K15" i="5" s="1"/>
  <c r="I32" i="5"/>
  <c r="K32" i="5" s="1"/>
  <c r="I11" i="5"/>
  <c r="K11" i="5" s="1"/>
  <c r="I23" i="5"/>
  <c r="K23" i="5" s="1"/>
  <c r="E36" i="5"/>
  <c r="E14" i="5"/>
  <c r="I14" i="5" s="1"/>
  <c r="K14" i="5" s="1"/>
  <c r="E35" i="5"/>
  <c r="E17" i="5"/>
  <c r="E31" i="5"/>
  <c r="E20" i="5"/>
  <c r="E27" i="5"/>
  <c r="I27" i="5" s="1"/>
  <c r="K27" i="5" s="1"/>
  <c r="G16" i="5"/>
  <c r="G29" i="5"/>
  <c r="E21" i="5"/>
  <c r="E26" i="5"/>
  <c r="E12" i="5"/>
  <c r="I12" i="5" s="1"/>
  <c r="K12" i="5" s="1"/>
  <c r="G34" i="5"/>
  <c r="G18" i="5"/>
  <c r="G13" i="5"/>
  <c r="G19" i="5"/>
  <c r="G36" i="5"/>
  <c r="G21" i="5"/>
  <c r="E9" i="11"/>
  <c r="I9" i="11" s="1"/>
  <c r="I31" i="5" l="1"/>
  <c r="K31" i="5" s="1"/>
  <c r="I36" i="5"/>
  <c r="K36" i="5" s="1"/>
  <c r="I34" i="5"/>
  <c r="K34" i="5" s="1"/>
  <c r="I29" i="5"/>
  <c r="K29" i="5" s="1"/>
  <c r="I19" i="5"/>
  <c r="K19" i="5" s="1"/>
  <c r="I16" i="5"/>
  <c r="K16" i="5" s="1"/>
  <c r="I21" i="5"/>
  <c r="K21" i="5" s="1"/>
  <c r="I17" i="5"/>
  <c r="K17" i="5" s="1"/>
  <c r="I13" i="5"/>
  <c r="K13" i="5" s="1"/>
  <c r="E39" i="5"/>
  <c r="I35" i="5"/>
  <c r="K35" i="5" s="1"/>
  <c r="I18" i="5"/>
  <c r="K18" i="5" s="1"/>
  <c r="I26" i="5"/>
  <c r="K26" i="5" s="1"/>
  <c r="G39" i="5"/>
  <c r="E16" i="6"/>
  <c r="I20" i="5"/>
  <c r="K20" i="5" s="1"/>
  <c r="I39" i="5" l="1"/>
  <c r="K39" i="5"/>
  <c r="C7" i="6" a="1"/>
  <c r="C7" i="6" s="1"/>
  <c r="K7" i="6" a="1"/>
  <c r="K7" i="6" s="1"/>
  <c r="M7" i="5" a="1"/>
  <c r="M7" i="5" s="1"/>
  <c r="C7" i="5" a="1"/>
  <c r="C7" i="5" s="1"/>
  <c r="K6" i="14" a="1"/>
  <c r="K6" i="14" s="1"/>
  <c r="C6" i="14" a="1"/>
  <c r="C6" i="14" s="1"/>
  <c r="K6" i="15" a="1"/>
  <c r="K6" i="15" s="1"/>
  <c r="C6" i="15" a="1"/>
  <c r="C6" i="15" s="1"/>
  <c r="Y7" i="17" a="1"/>
  <c r="Y7" i="17" s="1"/>
  <c r="O7" i="18" s="1"/>
  <c r="M7" i="17" a="1"/>
  <c r="M7" i="17" s="1"/>
  <c r="K7" i="2" s="1"/>
  <c r="M10" i="18"/>
  <c r="A3" i="18"/>
  <c r="A3" i="13"/>
  <c r="M13" i="6"/>
  <c r="Q13" i="6" s="1"/>
  <c r="M14" i="6"/>
  <c r="Q14" i="6" s="1"/>
  <c r="G16" i="6"/>
  <c r="S9" i="18"/>
  <c r="M31" i="5" s="1"/>
  <c r="M39" i="5" s="1"/>
  <c r="M12" i="6" l="1"/>
  <c r="M16" i="6" s="1"/>
  <c r="O31" i="5"/>
  <c r="S31" i="5" s="1"/>
  <c r="U31" i="5" s="1"/>
  <c r="O14" i="5"/>
  <c r="S14" i="5" s="1"/>
  <c r="U14" i="5" s="1"/>
  <c r="O15" i="5"/>
  <c r="S15" i="5" s="1"/>
  <c r="U15" i="5" s="1"/>
  <c r="O30" i="5"/>
  <c r="S30" i="5" s="1"/>
  <c r="U30" i="5" s="1"/>
  <c r="O35" i="5"/>
  <c r="S35" i="5" s="1"/>
  <c r="U35" i="5" s="1"/>
  <c r="O21" i="5"/>
  <c r="S21" i="5" s="1"/>
  <c r="U21" i="5" s="1"/>
  <c r="O34" i="5"/>
  <c r="S34" i="5" s="1"/>
  <c r="U34" i="5" s="1"/>
  <c r="O20" i="5"/>
  <c r="S20" i="5" s="1"/>
  <c r="U20" i="5" s="1"/>
  <c r="O17" i="5"/>
  <c r="S17" i="5" s="1"/>
  <c r="I16" i="6"/>
  <c r="O32" i="5"/>
  <c r="S32" i="5" s="1"/>
  <c r="U32" i="5" s="1"/>
  <c r="O13" i="5"/>
  <c r="O33" i="5"/>
  <c r="S33" i="5" s="1"/>
  <c r="U33" i="5" s="1"/>
  <c r="Q7" i="2"/>
  <c r="E6" i="11"/>
  <c r="Q12" i="6" l="1"/>
  <c r="O36" i="5"/>
  <c r="S36" i="5" s="1"/>
  <c r="U36" i="5" s="1"/>
  <c r="O11" i="5"/>
  <c r="O27" i="5"/>
  <c r="S27" i="5" s="1"/>
  <c r="U27" i="5" s="1"/>
  <c r="O18" i="5"/>
  <c r="S18" i="5" s="1"/>
  <c r="U18" i="5" s="1"/>
  <c r="O16" i="5"/>
  <c r="S16" i="5" s="1"/>
  <c r="U16" i="5" s="1"/>
  <c r="O12" i="5"/>
  <c r="S12" i="5" s="1"/>
  <c r="U12" i="5" s="1"/>
  <c r="S13" i="5"/>
  <c r="U13" i="5" s="1"/>
  <c r="U17" i="5"/>
  <c r="E11" i="11"/>
  <c r="I11" i="11" s="1"/>
  <c r="S11" i="5" l="1"/>
  <c r="O39" i="5"/>
  <c r="E12" i="7" l="1"/>
  <c r="I12" i="7"/>
  <c r="U11" i="5"/>
  <c r="U39" i="5" s="1"/>
  <c r="S39" i="5"/>
  <c r="Q11" i="6"/>
  <c r="Q16" i="6" s="1"/>
  <c r="S10" i="18"/>
  <c r="Q10" i="18"/>
  <c r="O10" i="18"/>
  <c r="K10" i="18"/>
  <c r="A3" i="17"/>
  <c r="G11" i="7" l="1"/>
  <c r="G10" i="7"/>
  <c r="K11" i="7"/>
  <c r="K10" i="7"/>
  <c r="G9" i="7"/>
  <c r="E10" i="11"/>
  <c r="I10" i="11" s="1"/>
  <c r="K9" i="7"/>
  <c r="G12" i="7" l="1"/>
  <c r="K12" i="7"/>
  <c r="E8" i="11"/>
  <c r="E12" i="11" s="1"/>
  <c r="I8" i="11" l="1"/>
  <c r="I12" i="11" s="1"/>
  <c r="G8" i="11"/>
  <c r="Q11" i="13"/>
  <c r="J10" i="18"/>
  <c r="L10" i="18"/>
  <c r="N10" i="18"/>
  <c r="R10" i="18"/>
  <c r="G10" i="11" l="1"/>
  <c r="G9" i="11"/>
  <c r="G11" i="11"/>
  <c r="D16" i="6"/>
  <c r="F16" i="6"/>
  <c r="H16" i="6"/>
  <c r="J16" i="6"/>
  <c r="L16" i="6"/>
  <c r="N16" i="6"/>
  <c r="P16" i="6"/>
  <c r="G12" i="11" l="1"/>
  <c r="A3" i="14"/>
  <c r="A3" i="8" l="1"/>
  <c r="A3" i="7"/>
  <c r="A3" i="6"/>
  <c r="A3" i="5"/>
  <c r="A3" i="15"/>
  <c r="A3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<sst xmlns="http://schemas.openxmlformats.org/spreadsheetml/2006/main" count="392" uniqueCount="169">
  <si>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</si>
  <si>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</si>
  <si>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</si>
  <si>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</si>
  <si>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</si>
  <si>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</si>
  <si>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</si>
  <si>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</si>
  <si>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</si>
  <si>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</si>
  <si>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</si>
  <si>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</si>
  <si>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</si>
  <si>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</si>
  <si>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</si>
  <si>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</si>
  <si>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</si>
  <si>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</si>
  <si>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</si>
  <si>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</si>
  <si>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</si>
  <si>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</si>
  <si>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</si>
  <si>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</si>
  <si>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</si>
  <si>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</si>
  <si>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</si>
  <si>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</si>
  <si>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</si>
  <si>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</si>
  <si>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</si>
  <si>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</si>
  <si>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</si>
  <si>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</si>
  <si>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</si>
  <si>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</si>
  <si>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</si>
  <si>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</si>
  <si>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</si>
  <si>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</si>
  <si>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</si>
  <si>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</si>
  <si>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</si>
  <si>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</si>
  <si>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</si>
  <si>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</si>
  <si>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</si>
  <si>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</si>
  <si>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</si>
  <si>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</si>
  <si>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</si>
  <si>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</si>
  <si>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</si>
  <si>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</si>
  <si>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</si>
  <si>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</si>
  <si>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</si>
  <si>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</si>
  <si>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</si>
  <si>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</si>
  <si>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</si>
  <si>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</si>
  <si>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</si>
  <si>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</si>
  <si>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</si>
  <si>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</si>
  <si>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</si>
  <si>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</si>
  <si>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</si>
  <si>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</si>
  <si>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</si>
  <si>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</si>
  <si>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</si>
  <si>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</si>
  <si>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</si>
  <si>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</si>
  <si>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</si>
  <si>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</si>
  <si>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</si>
  <si>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</si>
  <si>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</si>
  <si>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</si>
  <si>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</si>
  <si>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</si>
  <si>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</si>
  <si>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</si>
  <si>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</si>
  <si>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</si>
  <si>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</si>
  <si>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</si>
  <si>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</si>
  <si>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</si>
  <si>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</si>
  <si>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</si>
  <si>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صندوق سرمایه گذاری با تضمین اصل سرمایه کیان</t>
  </si>
  <si>
    <t>فولاد کاوه جنوب کیش (کاوه)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</si>
  <si>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</si>
  <si>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</si>
  <si>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</si>
  <si>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</si>
  <si>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</si>
  <si>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</si>
  <si>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</si>
  <si>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کوتاه مدت خاورمیانه</t>
  </si>
  <si>
    <t>پاسارگاد209.8100.15644767.1 -کوتاه مدت</t>
  </si>
  <si>
    <t>209.8100.15644767.1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</si>
  <si>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</si>
  <si>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</si>
  <si>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سیمان صوفیان (سصوفی)</t>
  </si>
  <si>
    <t>صبا فولاد خلیج فارس (فصبا)</t>
  </si>
  <si>
    <t>بین المللی توسعه صنایع و معادن غدیر (وکغدیر)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</si>
  <si>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</si>
  <si>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</si>
  <si>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</si>
  <si>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</si>
  <si>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</si>
  <si>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مولد نیروگاهی تجارت فارس (بمولد)</t>
  </si>
  <si>
    <t>1005/10/810/707074934</t>
  </si>
  <si>
    <t>اسناد خزانه-م1بودجه01-040326 (اخزا101)</t>
  </si>
  <si>
    <t>بلی</t>
  </si>
  <si>
    <t>1401/02/26</t>
  </si>
  <si>
    <t>1404/03/26</t>
  </si>
  <si>
    <t>1000000.0000</t>
  </si>
  <si>
    <t>آهن و فولاد غدیر ایرانیان (فغدیر)</t>
  </si>
  <si>
    <t>پتروشیمی مبین (حق تقدم) (مبینح)</t>
  </si>
  <si>
    <t>گروه مالی صبا تامین (صبا)</t>
  </si>
  <si>
    <t>اسناد خزانه-م3بودجه01-040520 (اخزا103)</t>
  </si>
  <si>
    <t>اسنادخزانه-م7بودجه01-040714 (اخزا107)</t>
  </si>
  <si>
    <t>اسنادخزانه-م1بودجه02-050325 (اخزا201)</t>
  </si>
  <si>
    <t>1401/05/18</t>
  </si>
  <si>
    <t>1401/12/10</t>
  </si>
  <si>
    <t>1402/06/19</t>
  </si>
  <si>
    <t>1404/05/20</t>
  </si>
  <si>
    <t>1404/07/14</t>
  </si>
  <si>
    <t>1405/03/25</t>
  </si>
  <si>
    <t>تعدیل کارمزد کارگزاری</t>
  </si>
  <si>
    <t>A7,اوراق!$A$9:$W$12,22,0)</t>
  </si>
  <si>
    <t>پالایش نفت تبریز (شبریز)</t>
  </si>
  <si>
    <t>1402/11/30</t>
  </si>
  <si>
    <t>آنتی بیوتیک سازی ایران (بیوتیک)</t>
  </si>
  <si>
    <t>سرمایه گذاری و توسعه صنایع سیمان (سیدکو)</t>
  </si>
  <si>
    <t>سر. تامین اجتماعی (شستا)</t>
  </si>
  <si>
    <t>نشاسته و گلوکز آردینه (آردینه)</t>
  </si>
  <si>
    <t>پارس فنر (فنر)</t>
  </si>
  <si>
    <t>توسعه معدنی و صنعتی صبانور (حق تقدم) (کنورح)</t>
  </si>
  <si>
    <t>اسنادخزانه-م4بودجه01-040917 (اخزا104)</t>
  </si>
  <si>
    <t>1401/12/08</t>
  </si>
  <si>
    <t>1404/09/17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</si>
  <si>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</si>
  <si>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</si>
  <si>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</si>
  <si>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‫تعداد</t>
  </si>
  <si>
    <t>‫قیمت
آخرین معامله</t>
  </si>
  <si>
    <t>‫قیمت تعدیل شده</t>
  </si>
  <si>
    <t>‫درصد تعدیل</t>
  </si>
  <si>
    <t>‫خالص ارزش فروش تعدیل شده</t>
  </si>
  <si>
    <t>‫دلیل تعدیل</t>
  </si>
  <si>
    <t>منتهی به 1402/12/29</t>
  </si>
  <si>
    <t>برای ماه منتهی به 1402/12/29</t>
  </si>
  <si>
    <t>1402/12/29</t>
  </si>
  <si>
    <t>طی اسفند ماه</t>
  </si>
  <si>
    <t>از ابتدای سال مالی تا پایان اسفند ماه</t>
  </si>
  <si>
    <t>کاشی سینا (کساوه)</t>
  </si>
  <si>
    <t>پاسارگاد 209.307.15644767.2</t>
  </si>
  <si>
    <t>209.307.15644767.2</t>
  </si>
  <si>
    <t>سپرده سرمایه‌گذاری</t>
  </si>
  <si>
    <t>1402/12/17</t>
  </si>
  <si>
    <t>1402/12/24</t>
  </si>
  <si>
    <t>1402/12/20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</si>
</sst>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  <numFmt numFmtId="168" formatCode="_-* #,##0.00_-;_-* #,##0.00\-;_-* &quot;-&quot;??_-;_-@_-"/>
    <numFmt numFmtId="169" formatCode="_-* #,##0.00000000_-;_-* #,##0.00000000\-;_-* &quot;-&quot;??_-;_-@_-"/>
    <numFmt numFmtId="170" formatCode="_-* #,##0_-;_-* #,##0\-;_-* &quot;-&quot;??_-;_-@_-"/>
    <numFmt numFmtId="171" formatCode="_-* #,##0.000000000000_-;_-* #,##0.000000000000\-;_-* &quot;-&quot;??_-;_-@_-"/>
    <numFmt numFmtId="172" formatCode="_(* #,##0.0_);_(* \(#,##0.0\);_(* &quot;-&quot;??_);_(@_)"/>
  </numFmts>
  <fonts count="5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b/>
      <sz val="11"/>
      <color rgb="FF2E2E2E"/>
      <name val="IranSansFaNum"/>
    </font>
    <font>
      <sz val="10"/>
      <color rgb="FF3C464A"/>
      <name val="Tahoma"/>
      <family val="2"/>
    </font>
    <font>
      <b/>
      <sz val="9"/>
      <color rgb="FF00A651"/>
      <name val="IranSansFaNum"/>
    </font>
    <font>
      <b/>
      <sz val="13"/>
      <color theme="1"/>
      <name val="B Mitra"/>
      <charset val="178"/>
    </font>
    <font>
      <sz val="16"/>
      <name val="B Mitra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168" fontId="2" fillId="0" borderId="0" applyFont="0" applyFill="0" applyBorder="0" applyAlignment="0" applyProtection="0"/>
  </cellStyleXfs>
  <cellXfs count="344">
    <xf numFmtId="0" fontId="0" fillId="0" borderId="0" xfId="0"/>
    <xf numFmtId="0" fontId="12" fillId="0" borderId="0" xfId="0" applyFont="1"/>
    <xf numFmtId="165" fontId="8" fillId="0" borderId="0" xfId="1" applyNumberFormat="1" applyFont="1" applyFill="1"/>
    <xf numFmtId="0" fontId="30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 wrapText="1"/>
    </xf>
    <xf numFmtId="164" fontId="18" fillId="0" borderId="1" xfId="1" applyNumberFormat="1" applyFont="1" applyFill="1" applyBorder="1"/>
    <xf numFmtId="164" fontId="18" fillId="0" borderId="0" xfId="1" applyNumberFormat="1" applyFont="1" applyFill="1" applyAlignment="1">
      <alignment vertical="center"/>
    </xf>
    <xf numFmtId="10" fontId="11" fillId="0" borderId="0" xfId="2" applyNumberFormat="1" applyFont="1" applyFill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164" fontId="14" fillId="0" borderId="0" xfId="1" applyNumberFormat="1" applyFont="1" applyFill="1"/>
    <xf numFmtId="164" fontId="8" fillId="0" borderId="0" xfId="1" applyNumberFormat="1" applyFont="1" applyFill="1" applyAlignment="1">
      <alignment vertical="center"/>
    </xf>
    <xf numFmtId="164" fontId="12" fillId="0" borderId="0" xfId="1" applyNumberFormat="1" applyFont="1" applyFill="1"/>
    <xf numFmtId="164" fontId="12" fillId="0" borderId="0" xfId="1" applyNumberFormat="1" applyFont="1" applyFill="1" applyAlignment="1"/>
    <xf numFmtId="16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/>
    <xf numFmtId="164" fontId="13" fillId="0" borderId="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/>
    <xf numFmtId="164" fontId="1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39" fillId="0" borderId="0" xfId="1" applyNumberFormat="1" applyFont="1" applyFill="1" applyBorder="1" applyAlignment="1">
      <alignment vertical="center"/>
    </xf>
    <xf numFmtId="164" fontId="39" fillId="0" borderId="0" xfId="1" applyNumberFormat="1" applyFont="1" applyFill="1" applyAlignment="1">
      <alignment vertical="center"/>
    </xf>
    <xf numFmtId="43" fontId="18" fillId="0" borderId="0" xfId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vertical="center"/>
    </xf>
    <xf numFmtId="165" fontId="12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 readingOrder="2"/>
    </xf>
    <xf numFmtId="165" fontId="22" fillId="0" borderId="1" xfId="1" applyNumberFormat="1" applyFont="1" applyFill="1" applyBorder="1" applyAlignment="1">
      <alignment horizontal="center" vertical="center" wrapText="1" readingOrder="2"/>
    </xf>
    <xf numFmtId="165" fontId="21" fillId="0" borderId="4" xfId="1" applyNumberFormat="1" applyFont="1" applyFill="1" applyBorder="1" applyAlignment="1">
      <alignment horizontal="center" vertical="center" wrapText="1" readingOrder="2"/>
    </xf>
    <xf numFmtId="16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165" fontId="38" fillId="0" borderId="0" xfId="1" applyNumberFormat="1" applyFont="1" applyFill="1" applyAlignment="1">
      <alignment vertical="center"/>
    </xf>
    <xf numFmtId="164" fontId="26" fillId="0" borderId="15" xfId="1" applyNumberFormat="1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Alignment="1">
      <alignment vertical="center" wrapText="1"/>
    </xf>
    <xf numFmtId="164" fontId="18" fillId="0" borderId="3" xfId="1" applyNumberFormat="1" applyFont="1" applyFill="1" applyBorder="1" applyAlignment="1">
      <alignment vertical="center" wrapText="1"/>
    </xf>
    <xf numFmtId="164" fontId="8" fillId="0" borderId="0" xfId="1" applyNumberFormat="1" applyFont="1" applyFill="1"/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vertical="center" wrapText="1"/>
    </xf>
    <xf numFmtId="164" fontId="2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164" fontId="20" fillId="0" borderId="9" xfId="1" applyNumberFormat="1" applyFont="1" applyFill="1" applyBorder="1" applyAlignment="1">
      <alignment horizontal="left" vertical="center"/>
    </xf>
    <xf numFmtId="164" fontId="20" fillId="0" borderId="0" xfId="1" applyNumberFormat="1" applyFont="1" applyFill="1" applyBorder="1" applyAlignment="1">
      <alignment vertical="center"/>
    </xf>
    <xf numFmtId="10" fontId="4" fillId="0" borderId="0" xfId="1" applyNumberFormat="1" applyFont="1" applyFill="1" applyAlignment="1">
      <alignment vertical="center"/>
    </xf>
    <xf numFmtId="9" fontId="4" fillId="0" borderId="0" xfId="1" applyNumberFormat="1" applyFont="1" applyFill="1" applyAlignment="1">
      <alignment vertical="center"/>
    </xf>
    <xf numFmtId="10" fontId="6" fillId="0" borderId="8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horizontal="center" vertical="center" readingOrder="2"/>
    </xf>
    <xf numFmtId="37" fontId="6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3" fontId="41" fillId="0" borderId="0" xfId="0" applyNumberFormat="1" applyFont="1" applyFill="1"/>
    <xf numFmtId="166" fontId="4" fillId="0" borderId="0" xfId="0" applyNumberFormat="1" applyFont="1" applyFill="1" applyAlignment="1">
      <alignment vertical="center"/>
    </xf>
    <xf numFmtId="0" fontId="14" fillId="0" borderId="0" xfId="0" applyFont="1" applyFill="1"/>
    <xf numFmtId="0" fontId="18" fillId="0" borderId="0" xfId="0" applyFont="1" applyFill="1"/>
    <xf numFmtId="0" fontId="18" fillId="0" borderId="1" xfId="0" applyFont="1" applyFill="1" applyBorder="1"/>
    <xf numFmtId="0" fontId="16" fillId="0" borderId="0" xfId="0" applyFont="1" applyFill="1" applyAlignment="1">
      <alignment horizontal="center" vertical="center" wrapText="1" readingOrder="2"/>
    </xf>
    <xf numFmtId="0" fontId="16" fillId="0" borderId="0" xfId="0" applyFont="1" applyFill="1" applyAlignment="1">
      <alignment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18" fillId="0" borderId="0" xfId="0" applyFont="1" applyFill="1" applyAlignment="1">
      <alignment horizontal="center"/>
    </xf>
    <xf numFmtId="0" fontId="18" fillId="0" borderId="1" xfId="0" applyFont="1" applyFill="1" applyBorder="1" applyAlignment="1">
      <alignment vertical="center" wrapText="1" readingOrder="2"/>
    </xf>
    <xf numFmtId="37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/>
    </xf>
    <xf numFmtId="37" fontId="11" fillId="0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Fill="1"/>
    <xf numFmtId="0" fontId="8" fillId="0" borderId="0" xfId="0" applyFont="1" applyFill="1"/>
    <xf numFmtId="164" fontId="14" fillId="0" borderId="0" xfId="0" applyNumberFormat="1" applyFont="1" applyFill="1"/>
    <xf numFmtId="0" fontId="12" fillId="0" borderId="0" xfId="0" applyFont="1" applyFill="1"/>
    <xf numFmtId="0" fontId="18" fillId="0" borderId="0" xfId="0" applyFont="1" applyFill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right" vertical="center" readingOrder="2"/>
    </xf>
    <xf numFmtId="164" fontId="12" fillId="0" borderId="0" xfId="0" applyNumberFormat="1" applyFont="1" applyFill="1"/>
    <xf numFmtId="3" fontId="41" fillId="0" borderId="0" xfId="0" applyNumberFormat="1" applyFont="1" applyFill="1" applyAlignment="1">
      <alignment vertical="center"/>
    </xf>
    <xf numFmtId="3" fontId="41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37" fontId="25" fillId="0" borderId="11" xfId="0" applyNumberFormat="1" applyFont="1" applyFill="1" applyBorder="1" applyAlignment="1">
      <alignment horizontal="center" vertical="center" wrapText="1"/>
    </xf>
    <xf numFmtId="37" fontId="25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3" fontId="12" fillId="0" borderId="0" xfId="0" applyNumberFormat="1" applyFont="1" applyFill="1"/>
    <xf numFmtId="37" fontId="11" fillId="0" borderId="9" xfId="0" applyNumberFormat="1" applyFont="1" applyFill="1" applyBorder="1" applyAlignment="1">
      <alignment horizontal="center" vertical="center"/>
    </xf>
    <xf numFmtId="164" fontId="18" fillId="0" borderId="8" xfId="1" applyNumberFormat="1" applyFont="1" applyFill="1" applyBorder="1" applyAlignment="1">
      <alignment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vertical="center"/>
    </xf>
    <xf numFmtId="37" fontId="11" fillId="0" borderId="1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vertical="center"/>
    </xf>
    <xf numFmtId="2" fontId="8" fillId="0" borderId="0" xfId="0" applyNumberFormat="1" applyFont="1" applyFill="1" applyAlignment="1">
      <alignment vertical="center"/>
    </xf>
    <xf numFmtId="3" fontId="12" fillId="0" borderId="0" xfId="0" applyNumberFormat="1" applyFont="1" applyFill="1"/>
    <xf numFmtId="37" fontId="11" fillId="0" borderId="0" xfId="0" quotePrefix="1" applyNumberFormat="1" applyFont="1" applyFill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21" fillId="0" borderId="0" xfId="0" applyFont="1" applyFill="1" applyAlignment="1">
      <alignment vertical="center" wrapText="1" readingOrder="2"/>
    </xf>
    <xf numFmtId="165" fontId="21" fillId="0" borderId="4" xfId="0" applyNumberFormat="1" applyFont="1" applyFill="1" applyBorder="1" applyAlignment="1">
      <alignment horizontal="center" vertical="center" wrapText="1" readingOrder="2"/>
    </xf>
    <xf numFmtId="0" fontId="21" fillId="0" borderId="4" xfId="0" applyFont="1" applyFill="1" applyBorder="1" applyAlignment="1">
      <alignment horizontal="center" vertical="center" wrapText="1" readingOrder="2"/>
    </xf>
    <xf numFmtId="37" fontId="6" fillId="0" borderId="0" xfId="0" quotePrefix="1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64" fontId="7" fillId="0" borderId="8" xfId="1" applyNumberFormat="1" applyFont="1" applyFill="1" applyBorder="1" applyAlignment="1">
      <alignment vertical="center"/>
    </xf>
    <xf numFmtId="164" fontId="7" fillId="0" borderId="0" xfId="1" applyNumberFormat="1" applyFont="1" applyFill="1" applyAlignment="1">
      <alignment vertical="center"/>
    </xf>
    <xf numFmtId="37" fontId="35" fillId="0" borderId="0" xfId="0" applyNumberFormat="1" applyFont="1" applyFill="1" applyAlignment="1">
      <alignment horizontal="center" vertical="center"/>
    </xf>
    <xf numFmtId="10" fontId="21" fillId="0" borderId="8" xfId="2" applyNumberFormat="1" applyFont="1" applyFill="1" applyBorder="1" applyAlignment="1">
      <alignment horizontal="center" vertical="center" wrapText="1" readingOrder="2"/>
    </xf>
    <xf numFmtId="165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38" fillId="0" borderId="0" xfId="0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0" fontId="26" fillId="0" borderId="15" xfId="0" applyFont="1" applyFill="1" applyBorder="1" applyAlignment="1">
      <alignment horizontal="center" vertical="center" wrapText="1" readingOrder="2"/>
    </xf>
    <xf numFmtId="37" fontId="29" fillId="0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 wrapText="1" readingOrder="2"/>
    </xf>
    <xf numFmtId="0" fontId="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 readingOrder="2"/>
    </xf>
    <xf numFmtId="10" fontId="36" fillId="0" borderId="2" xfId="2" applyNumberFormat="1" applyFont="1" applyFill="1" applyBorder="1" applyAlignment="1">
      <alignment horizontal="center" vertical="center" wrapText="1" readingOrder="2"/>
    </xf>
    <xf numFmtId="3" fontId="8" fillId="0" borderId="0" xfId="0" applyNumberFormat="1" applyFont="1" applyFill="1"/>
    <xf numFmtId="0" fontId="16" fillId="0" borderId="0" xfId="0" applyFont="1" applyFill="1"/>
    <xf numFmtId="0" fontId="26" fillId="0" borderId="1" xfId="0" applyFont="1" applyFill="1" applyBorder="1" applyAlignment="1">
      <alignment horizontal="right" vertical="center" wrapText="1" readingOrder="2"/>
    </xf>
    <xf numFmtId="0" fontId="26" fillId="0" borderId="0" xfId="0" applyFont="1" applyFill="1" applyAlignment="1">
      <alignment vertical="center" wrapText="1" readingOrder="2"/>
    </xf>
    <xf numFmtId="0" fontId="27" fillId="0" borderId="0" xfId="0" applyFont="1" applyFill="1" applyAlignment="1">
      <alignment horizontal="center" vertical="center" wrapText="1" readingOrder="2"/>
    </xf>
    <xf numFmtId="3" fontId="42" fillId="0" borderId="0" xfId="0" applyNumberFormat="1" applyFont="1" applyFill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3" fontId="18" fillId="0" borderId="0" xfId="0" applyNumberFormat="1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7" fontId="31" fillId="0" borderId="0" xfId="0" quotePrefix="1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43" fillId="0" borderId="0" xfId="0" applyNumberFormat="1" applyFont="1" applyFill="1"/>
    <xf numFmtId="165" fontId="8" fillId="0" borderId="0" xfId="1" applyNumberFormat="1" applyFont="1" applyFill="1" applyAlignment="1"/>
    <xf numFmtId="0" fontId="26" fillId="0" borderId="1" xfId="0" applyFont="1" applyFill="1" applyBorder="1" applyAlignment="1">
      <alignment vertical="center" wrapText="1" readingOrder="2"/>
    </xf>
    <xf numFmtId="164" fontId="16" fillId="0" borderId="8" xfId="1" applyNumberFormat="1" applyFont="1" applyFill="1" applyBorder="1" applyAlignment="1">
      <alignment vertical="center"/>
    </xf>
    <xf numFmtId="164" fontId="28" fillId="0" borderId="0" xfId="1" applyNumberFormat="1" applyFont="1" applyFill="1" applyBorder="1" applyAlignment="1">
      <alignment vertical="center" wrapText="1" readingOrder="2"/>
    </xf>
    <xf numFmtId="37" fontId="46" fillId="0" borderId="0" xfId="0" applyNumberFormat="1" applyFont="1" applyFill="1" applyAlignment="1">
      <alignment horizontal="center" vertical="center" wrapText="1"/>
    </xf>
    <xf numFmtId="37" fontId="46" fillId="0" borderId="0" xfId="0" applyNumberFormat="1" applyFont="1" applyFill="1" applyAlignment="1">
      <alignment horizontal="center" vertical="center"/>
    </xf>
    <xf numFmtId="164" fontId="8" fillId="0" borderId="8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20" fillId="0" borderId="8" xfId="1" applyNumberFormat="1" applyFont="1" applyFill="1" applyBorder="1" applyAlignment="1">
      <alignment vertical="center"/>
    </xf>
    <xf numFmtId="165" fontId="12" fillId="0" borderId="0" xfId="0" applyNumberFormat="1" applyFont="1" applyFill="1"/>
    <xf numFmtId="3" fontId="44" fillId="0" borderId="0" xfId="0" applyNumberFormat="1" applyFont="1" applyFill="1"/>
    <xf numFmtId="164" fontId="13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horizontal="right" vertical="center" wrapText="1" readingOrder="2"/>
    </xf>
    <xf numFmtId="164" fontId="4" fillId="0" borderId="2" xfId="0" applyNumberFormat="1" applyFont="1" applyFill="1" applyBorder="1" applyAlignment="1">
      <alignment horizontal="center" vertical="center" readingOrder="2"/>
    </xf>
    <xf numFmtId="164" fontId="32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right" vertical="center" readingOrder="2"/>
    </xf>
    <xf numFmtId="164" fontId="17" fillId="0" borderId="0" xfId="1" applyNumberFormat="1" applyFont="1" applyFill="1" applyAlignment="1">
      <alignment vertical="center" readingOrder="2"/>
    </xf>
    <xf numFmtId="164" fontId="19" fillId="0" borderId="14" xfId="1" applyNumberFormat="1" applyFont="1" applyFill="1" applyBorder="1" applyAlignment="1">
      <alignment horizontal="right" vertical="center" readingOrder="2"/>
    </xf>
    <xf numFmtId="164" fontId="34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/>
    </xf>
    <xf numFmtId="164" fontId="32" fillId="0" borderId="0" xfId="1" applyNumberFormat="1" applyFont="1" applyFill="1" applyAlignment="1">
      <alignment vertical="center" wrapText="1"/>
    </xf>
    <xf numFmtId="164" fontId="18" fillId="0" borderId="0" xfId="1" applyNumberFormat="1" applyFont="1" applyFill="1" applyAlignment="1">
      <alignment horizontal="center" vertical="center" readingOrder="2"/>
    </xf>
    <xf numFmtId="164" fontId="40" fillId="0" borderId="0" xfId="1" applyNumberFormat="1" applyFont="1" applyFill="1"/>
    <xf numFmtId="164" fontId="18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33" fillId="0" borderId="0" xfId="1" applyNumberFormat="1" applyFont="1" applyFill="1"/>
    <xf numFmtId="37" fontId="16" fillId="0" borderId="0" xfId="1" applyNumberFormat="1" applyFont="1" applyFill="1" applyAlignment="1">
      <alignment horizontal="center" vertical="center" readingOrder="2"/>
    </xf>
    <xf numFmtId="37" fontId="17" fillId="0" borderId="0" xfId="1" applyNumberFormat="1" applyFont="1" applyFill="1" applyAlignment="1">
      <alignment horizontal="center" vertical="center" readingOrder="2"/>
    </xf>
    <xf numFmtId="37" fontId="16" fillId="0" borderId="0" xfId="1" applyNumberFormat="1" applyFont="1" applyFill="1" applyAlignment="1">
      <alignment horizontal="center" vertical="center" wrapText="1" readingOrder="2"/>
    </xf>
    <xf numFmtId="37" fontId="16" fillId="0" borderId="0" xfId="1" applyNumberFormat="1" applyFont="1" applyAlignment="1">
      <alignment horizontal="center" vertical="center"/>
    </xf>
    <xf numFmtId="37" fontId="16" fillId="0" borderId="16" xfId="1" applyNumberFormat="1" applyFont="1" applyFill="1" applyBorder="1" applyAlignment="1">
      <alignment horizontal="center" vertical="center" readingOrder="2"/>
    </xf>
    <xf numFmtId="37" fontId="16" fillId="0" borderId="10" xfId="1" applyNumberFormat="1" applyFont="1" applyFill="1" applyBorder="1" applyAlignment="1">
      <alignment horizontal="center" vertical="center" readingOrder="2"/>
    </xf>
    <xf numFmtId="37" fontId="18" fillId="0" borderId="0" xfId="1" applyNumberFormat="1" applyFont="1" applyFill="1" applyAlignment="1">
      <alignment horizontal="center"/>
    </xf>
    <xf numFmtId="37" fontId="16" fillId="0" borderId="2" xfId="1" applyNumberFormat="1" applyFont="1" applyFill="1" applyBorder="1" applyAlignment="1">
      <alignment horizontal="center" vertical="center" readingOrder="2"/>
    </xf>
    <xf numFmtId="37" fontId="16" fillId="0" borderId="3" xfId="1" applyNumberFormat="1" applyFont="1" applyFill="1" applyBorder="1" applyAlignment="1">
      <alignment horizontal="center" vertical="center" readingOrder="2"/>
    </xf>
    <xf numFmtId="3" fontId="0" fillId="0" borderId="0" xfId="0" applyNumberFormat="1"/>
    <xf numFmtId="169" fontId="48" fillId="0" borderId="0" xfId="5" applyNumberFormat="1" applyFont="1" applyFill="1" applyAlignment="1">
      <alignment horizontal="left" vertical="center" wrapText="1" shrinkToFit="1"/>
    </xf>
    <xf numFmtId="0" fontId="48" fillId="0" borderId="0" xfId="0" applyFont="1" applyAlignment="1">
      <alignment vertical="center"/>
    </xf>
    <xf numFmtId="0" fontId="49" fillId="0" borderId="0" xfId="0" applyFont="1"/>
    <xf numFmtId="0" fontId="51" fillId="0" borderId="0" xfId="0" applyFont="1"/>
    <xf numFmtId="37" fontId="50" fillId="0" borderId="11" xfId="0" applyNumberFormat="1" applyFont="1" applyBorder="1" applyAlignment="1">
      <alignment horizontal="center" vertical="center"/>
    </xf>
    <xf numFmtId="37" fontId="50" fillId="0" borderId="11" xfId="0" applyNumberFormat="1" applyFont="1" applyBorder="1" applyAlignment="1">
      <alignment horizontal="center" vertical="center" wrapText="1"/>
    </xf>
    <xf numFmtId="170" fontId="48" fillId="0" borderId="0" xfId="0" applyNumberFormat="1" applyFont="1" applyAlignment="1">
      <alignment vertical="center"/>
    </xf>
    <xf numFmtId="0" fontId="53" fillId="0" borderId="0" xfId="0" applyFont="1"/>
    <xf numFmtId="164" fontId="52" fillId="0" borderId="0" xfId="0" applyNumberFormat="1" applyFont="1" applyAlignment="1">
      <alignment horizontal="center" vertical="center" wrapText="1" shrinkToFit="1"/>
    </xf>
    <xf numFmtId="0" fontId="53" fillId="0" borderId="0" xfId="0" applyFont="1" applyAlignment="1">
      <alignment horizontal="center"/>
    </xf>
    <xf numFmtId="164" fontId="52" fillId="0" borderId="0" xfId="0" applyNumberFormat="1" applyFont="1" applyAlignment="1">
      <alignment horizontal="left" vertical="center" wrapText="1" shrinkToFit="1"/>
    </xf>
    <xf numFmtId="0" fontId="48" fillId="0" borderId="0" xfId="0" applyFont="1"/>
    <xf numFmtId="171" fontId="48" fillId="0" borderId="0" xfId="5" applyNumberFormat="1" applyFont="1" applyFill="1" applyAlignment="1">
      <alignment horizontal="left" vertical="center" wrapText="1" shrinkToFit="1"/>
    </xf>
    <xf numFmtId="0" fontId="53" fillId="0" borderId="0" xfId="0" applyFont="1" applyAlignment="1">
      <alignment vertical="center"/>
    </xf>
    <xf numFmtId="37" fontId="5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52" fillId="0" borderId="8" xfId="0" applyNumberFormat="1" applyFont="1" applyBorder="1" applyAlignment="1">
      <alignment horizontal="left" vertical="center" wrapText="1" shrinkToFit="1"/>
    </xf>
    <xf numFmtId="37" fontId="52" fillId="0" borderId="9" xfId="0" applyNumberFormat="1" applyFont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center"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horizontal="center"/>
    </xf>
    <xf numFmtId="164" fontId="18" fillId="0" borderId="2" xfId="1" applyNumberFormat="1" applyFont="1" applyFill="1" applyBorder="1" applyAlignment="1">
      <alignment vertical="center" readingOrder="2"/>
    </xf>
    <xf numFmtId="164" fontId="18" fillId="0" borderId="2" xfId="1" applyNumberFormat="1" applyFont="1" applyFill="1" applyBorder="1" applyAlignment="1">
      <alignment horizontal="center" vertical="center" readingOrder="2"/>
    </xf>
    <xf numFmtId="164" fontId="8" fillId="0" borderId="8" xfId="1" applyNumberFormat="1" applyFont="1" applyFill="1" applyBorder="1" applyAlignment="1">
      <alignment vertical="center" wrapText="1"/>
    </xf>
    <xf numFmtId="164" fontId="10" fillId="0" borderId="8" xfId="1" applyNumberFormat="1" applyFont="1" applyFill="1" applyBorder="1" applyAlignment="1">
      <alignment vertical="center"/>
    </xf>
    <xf numFmtId="10" fontId="52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left" vertical="center" wrapText="1" shrinkToFit="1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horizontal="center"/>
    </xf>
    <xf numFmtId="37" fontId="25" fillId="0" borderId="1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 readingOrder="2"/>
    </xf>
    <xf numFmtId="0" fontId="26" fillId="0" borderId="1" xfId="0" applyFont="1" applyFill="1" applyBorder="1" applyAlignment="1">
      <alignment horizontal="center" vertical="center" wrapText="1" readingOrder="2"/>
    </xf>
    <xf numFmtId="10" fontId="38" fillId="0" borderId="0" xfId="2" applyNumberFormat="1" applyFont="1" applyFill="1" applyAlignment="1">
      <alignment horizontal="center" vertical="center"/>
    </xf>
    <xf numFmtId="167" fontId="38" fillId="0" borderId="0" xfId="1" applyNumberFormat="1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43" fontId="8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readingOrder="2"/>
    </xf>
    <xf numFmtId="164" fontId="4" fillId="0" borderId="1" xfId="1" applyNumberFormat="1" applyFont="1" applyFill="1" applyBorder="1" applyAlignment="1">
      <alignment horizontal="center" vertical="center" readingOrder="2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right" vertical="center" readingOrder="2"/>
    </xf>
    <xf numFmtId="164" fontId="4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 wrapText="1" readingOrder="2"/>
    </xf>
    <xf numFmtId="10" fontId="4" fillId="0" borderId="3" xfId="2" applyNumberFormat="1" applyFont="1" applyFill="1" applyBorder="1" applyAlignment="1">
      <alignment horizontal="center" vertical="center" wrapText="1" readingOrder="2"/>
    </xf>
    <xf numFmtId="10" fontId="4" fillId="0" borderId="1" xfId="2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vertical="center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37" fontId="50" fillId="0" borderId="16" xfId="0" applyNumberFormat="1" applyFont="1" applyBorder="1" applyAlignment="1">
      <alignment horizontal="center" vertical="center"/>
    </xf>
    <xf numFmtId="0" fontId="51" fillId="0" borderId="12" xfId="0" applyFont="1" applyBorder="1"/>
    <xf numFmtId="0" fontId="47" fillId="0" borderId="0" xfId="0" applyFont="1" applyAlignment="1">
      <alignment horizontal="center"/>
    </xf>
    <xf numFmtId="37" fontId="50" fillId="0" borderId="0" xfId="0" applyNumberFormat="1" applyFont="1" applyAlignment="1">
      <alignment horizontal="right" vertical="center"/>
    </xf>
    <xf numFmtId="0" fontId="51" fillId="0" borderId="0" xfId="0" applyFont="1"/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readingOrder="2"/>
    </xf>
    <xf numFmtId="0" fontId="18" fillId="0" borderId="1" xfId="0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 vertical="center" wrapText="1" readingOrder="2"/>
    </xf>
    <xf numFmtId="37" fontId="25" fillId="0" borderId="11" xfId="0" applyNumberFormat="1" applyFont="1" applyFill="1" applyBorder="1" applyAlignment="1">
      <alignment horizontal="center" vertical="center"/>
    </xf>
    <xf numFmtId="0" fontId="12" fillId="0" borderId="12" xfId="0" applyFont="1" applyFill="1" applyBorder="1"/>
    <xf numFmtId="0" fontId="20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 vertical="center" readingOrder="2"/>
    </xf>
    <xf numFmtId="165" fontId="23" fillId="0" borderId="0" xfId="1" applyNumberFormat="1" applyFont="1" applyFill="1" applyAlignment="1">
      <alignment horizontal="right" vertical="center" readingOrder="2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21" fillId="0" borderId="3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wrapText="1" readingOrder="2"/>
    </xf>
    <xf numFmtId="165" fontId="21" fillId="0" borderId="3" xfId="1" applyNumberFormat="1" applyFont="1" applyFill="1" applyBorder="1" applyAlignment="1">
      <alignment horizontal="center" vertical="center" wrapText="1" readingOrder="2"/>
    </xf>
    <xf numFmtId="165" fontId="21" fillId="0" borderId="0" xfId="1" applyNumberFormat="1" applyFont="1" applyFill="1" applyBorder="1" applyAlignment="1">
      <alignment horizontal="center" vertical="center" wrapText="1" readingOrder="2"/>
    </xf>
    <xf numFmtId="0" fontId="21" fillId="0" borderId="3" xfId="0" applyFont="1" applyFill="1" applyBorder="1" applyAlignment="1">
      <alignment horizontal="center" vertical="center" wrapText="1" readingOrder="2"/>
    </xf>
    <xf numFmtId="0" fontId="21" fillId="0" borderId="1" xfId="0" applyFont="1" applyFill="1" applyBorder="1" applyAlignment="1">
      <alignment horizontal="center" vertical="center" wrapText="1" readingOrder="2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 readingOrder="2"/>
    </xf>
    <xf numFmtId="0" fontId="26" fillId="0" borderId="0" xfId="0" applyFont="1" applyFill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 readingOrder="2"/>
    </xf>
    <xf numFmtId="0" fontId="26" fillId="0" borderId="4" xfId="0" applyFont="1" applyFill="1" applyBorder="1" applyAlignment="1">
      <alignment horizontal="center" vertical="center" wrapText="1" readingOrder="2"/>
    </xf>
    <xf numFmtId="164" fontId="16" fillId="0" borderId="4" xfId="1" applyNumberFormat="1" applyFont="1" applyFill="1" applyBorder="1" applyAlignment="1">
      <alignment horizontal="center" vertical="center" wrapText="1"/>
    </xf>
    <xf numFmtId="172" fontId="13" fillId="0" borderId="0" xfId="1" applyNumberFormat="1" applyFont="1" applyFill="1" applyAlignment="1">
      <alignment vertical="center"/>
    </xf>
    <xf numFmtId="172" fontId="18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vertical="center"/>
    </xf>
  </cellXfs>
  <cellStyles count="6">
    <cellStyle name="Comma" xfId="1" builtinId="3"/>
    <cellStyle name="Comma 2" xfId="5" xr:uid="{F2B00D3C-5790-4550-A487-9FBEA97624C3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28574</xdr:rowOff>
    </xdr:from>
    <xdr:to>
      <xdr:col>9</xdr:col>
      <xdr:colOff>590549</xdr:colOff>
      <xdr:row>35</xdr:row>
      <xdr:rowOff>190499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D45B7D-B93B-4D20-95FE-EA596A3B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09451" y="28574"/>
          <a:ext cx="6067424" cy="762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tabSelected="1" view="pageBreakPreview" zoomScaleNormal="100" zoomScaleSheetLayoutView="100" workbookViewId="0">
      <selection activeCell="L21" sqref="L21"/>
    </sheetView>
  </sheetViews>
  <sheetFormatPr defaultColWidth="9.140625" defaultRowHeight="17.25"/>
  <cols>
    <col min="1" max="16384" width="9.140625" style="1"/>
  </cols>
  <sheetData>
    <row r="18" spans="1:13">
      <c r="M18" s="1" t="s">
        <v>59</v>
      </c>
    </row>
    <row r="24" spans="1:13" ht="15" customHeight="1">
      <c r="A24" s="249" t="s">
        <v>75</v>
      </c>
      <c r="B24" s="249"/>
      <c r="C24" s="249"/>
      <c r="D24" s="249"/>
      <c r="E24" s="249"/>
      <c r="F24" s="249"/>
      <c r="G24" s="249"/>
      <c r="H24" s="249"/>
      <c r="I24" s="249"/>
      <c r="J24" s="249"/>
      <c r="K24" s="3"/>
      <c r="L24" s="3"/>
    </row>
    <row r="25" spans="1:13" ht="15" customHeight="1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3"/>
      <c r="L25" s="3"/>
    </row>
    <row r="26" spans="1:13" ht="15" customHeight="1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3"/>
      <c r="L26" s="3"/>
    </row>
    <row r="27" spans="1:13">
      <c r="C27" s="1" t="s">
        <v>59</v>
      </c>
    </row>
    <row r="28" spans="1:13" ht="15" customHeight="1">
      <c r="A28" s="249" t="s">
        <v>157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</row>
    <row r="29" spans="1:13" ht="15" customHeight="1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</row>
    <row r="30" spans="1:13" ht="15" customHeight="1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</row>
    <row r="31" spans="1:13" ht="15" customHeight="1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44"/>
  <sheetViews>
    <sheetView rightToLeft="1" view="pageBreakPreview" zoomScale="55" zoomScaleNormal="100" zoomScaleSheetLayoutView="55" workbookViewId="0">
      <selection activeCell="A4" sqref="A4"/>
    </sheetView>
  </sheetViews>
  <sheetFormatPr defaultColWidth="9.140625" defaultRowHeight="30.75"/>
  <cols>
    <col min="1" max="1" width="55.42578125" style="60" bestFit="1" customWidth="1"/>
    <col min="2" max="2" width="1.85546875" style="60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60" customWidth="1"/>
    <col min="23" max="23" width="21.85546875" style="9" customWidth="1"/>
    <col min="24" max="24" width="21.140625" style="4" bestFit="1" customWidth="1"/>
    <col min="25" max="25" width="21.7109375" style="4" bestFit="1" customWidth="1"/>
    <col min="26" max="26" width="16.42578125" style="60" customWidth="1"/>
    <col min="27" max="28" width="14.85546875" style="5" bestFit="1" customWidth="1"/>
    <col min="29" max="29" width="17.140625" style="60" bestFit="1" customWidth="1"/>
    <col min="30" max="16384" width="9.140625" style="60"/>
  </cols>
  <sheetData>
    <row r="1" spans="1:33" ht="31.5">
      <c r="A1" s="250" t="s">
        <v>94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</row>
    <row r="2" spans="1:33" ht="31.5">
      <c r="A2" s="250" t="s">
        <v>51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</row>
    <row r="3" spans="1:33" ht="31.5">
      <c r="A3" s="250" t="s">
        <v>158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</row>
    <row r="4" spans="1:33" ht="31.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</row>
    <row r="5" spans="1:33" ht="31.5">
      <c r="A5" s="258" t="s">
        <v>25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</row>
    <row r="6" spans="1:33" ht="31.5">
      <c r="A6" s="258" t="s">
        <v>26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</row>
    <row r="8" spans="1:33" ht="36.75" customHeight="1" thickBot="1">
      <c r="A8" s="61"/>
      <c r="B8" s="62"/>
      <c r="C8" s="260" t="s">
        <v>138</v>
      </c>
      <c r="D8" s="260"/>
      <c r="E8" s="260"/>
      <c r="F8" s="260"/>
      <c r="G8" s="260"/>
      <c r="H8" s="6"/>
      <c r="I8" s="259" t="s">
        <v>7</v>
      </c>
      <c r="J8" s="259"/>
      <c r="K8" s="259"/>
      <c r="L8" s="259"/>
      <c r="M8" s="259"/>
      <c r="O8" s="261" t="s">
        <v>159</v>
      </c>
      <c r="P8" s="261"/>
      <c r="Q8" s="261"/>
      <c r="R8" s="261"/>
      <c r="S8" s="261"/>
      <c r="T8" s="261"/>
      <c r="U8" s="261"/>
      <c r="V8" s="261"/>
      <c r="W8" s="261"/>
    </row>
    <row r="9" spans="1:33" ht="29.25" customHeight="1">
      <c r="A9" s="251" t="s">
        <v>1</v>
      </c>
      <c r="B9" s="63"/>
      <c r="C9" s="255" t="s">
        <v>3</v>
      </c>
      <c r="D9" s="257"/>
      <c r="E9" s="255" t="s">
        <v>0</v>
      </c>
      <c r="F9" s="257"/>
      <c r="G9" s="257" t="s">
        <v>21</v>
      </c>
      <c r="H9" s="53"/>
      <c r="I9" s="253" t="s">
        <v>4</v>
      </c>
      <c r="J9" s="253"/>
      <c r="K9" s="7"/>
      <c r="L9" s="253" t="s">
        <v>5</v>
      </c>
      <c r="M9" s="253"/>
      <c r="O9" s="255" t="s">
        <v>3</v>
      </c>
      <c r="P9" s="254"/>
      <c r="Q9" s="257" t="s">
        <v>33</v>
      </c>
      <c r="R9" s="224"/>
      <c r="S9" s="255" t="s">
        <v>0</v>
      </c>
      <c r="T9" s="254"/>
      <c r="U9" s="257" t="s">
        <v>21</v>
      </c>
      <c r="V9" s="64"/>
      <c r="W9" s="263" t="s">
        <v>22</v>
      </c>
    </row>
    <row r="10" spans="1:33" ht="49.5" customHeight="1" thickBot="1">
      <c r="A10" s="252"/>
      <c r="B10" s="63"/>
      <c r="C10" s="256"/>
      <c r="D10" s="254"/>
      <c r="E10" s="256"/>
      <c r="F10" s="254"/>
      <c r="G10" s="262"/>
      <c r="H10" s="53"/>
      <c r="I10" s="227" t="s">
        <v>3</v>
      </c>
      <c r="J10" s="227" t="s">
        <v>0</v>
      </c>
      <c r="K10" s="7"/>
      <c r="L10" s="227" t="s">
        <v>3</v>
      </c>
      <c r="M10" s="227" t="s">
        <v>50</v>
      </c>
      <c r="O10" s="256"/>
      <c r="P10" s="254"/>
      <c r="Q10" s="262"/>
      <c r="R10" s="224"/>
      <c r="S10" s="256"/>
      <c r="T10" s="254"/>
      <c r="U10" s="262"/>
      <c r="V10" s="64"/>
      <c r="W10" s="264"/>
    </row>
    <row r="11" spans="1:33" ht="28.5" customHeight="1">
      <c r="A11" s="4" t="s">
        <v>108</v>
      </c>
      <c r="C11" s="214">
        <v>48862</v>
      </c>
      <c r="E11" s="4">
        <v>1587165128</v>
      </c>
      <c r="G11" s="214">
        <v>1700965918</v>
      </c>
      <c r="I11" s="4">
        <v>0</v>
      </c>
      <c r="J11" s="4">
        <v>0</v>
      </c>
      <c r="K11" s="65"/>
      <c r="L11" s="4">
        <v>0</v>
      </c>
      <c r="M11" s="4">
        <v>0</v>
      </c>
      <c r="O11" s="4">
        <v>48862</v>
      </c>
      <c r="Q11" s="343">
        <v>38040</v>
      </c>
      <c r="S11" s="4">
        <v>1587165128</v>
      </c>
      <c r="U11" s="214">
        <v>1847651156</v>
      </c>
      <c r="V11" s="65"/>
      <c r="W11" s="8">
        <f>U11/درآمدها!$J$6</f>
        <v>1.0667321085439519E-2</v>
      </c>
      <c r="Z11" s="66"/>
      <c r="AC11" s="66"/>
      <c r="AD11" s="67"/>
      <c r="AE11" s="66"/>
      <c r="AF11" s="67"/>
      <c r="AG11" s="66"/>
    </row>
    <row r="12" spans="1:33" ht="28.5" customHeight="1">
      <c r="A12" s="4" t="s">
        <v>162</v>
      </c>
      <c r="C12" s="214">
        <v>0</v>
      </c>
      <c r="E12" s="4">
        <v>0</v>
      </c>
      <c r="G12" s="214">
        <v>0</v>
      </c>
      <c r="I12" s="4">
        <v>76717</v>
      </c>
      <c r="J12" s="4">
        <v>1490708700</v>
      </c>
      <c r="K12" s="65"/>
      <c r="L12" s="4">
        <v>0</v>
      </c>
      <c r="M12" s="4">
        <v>0</v>
      </c>
      <c r="O12" s="4">
        <v>76717</v>
      </c>
      <c r="Q12" s="343">
        <v>18750</v>
      </c>
      <c r="S12" s="4">
        <v>1490708700</v>
      </c>
      <c r="U12" s="214">
        <v>1429885013</v>
      </c>
      <c r="V12" s="65"/>
      <c r="W12" s="8">
        <f>U12/درآمدها!$J$6</f>
        <v>8.2553692559315887E-3</v>
      </c>
      <c r="Z12" s="66"/>
      <c r="AC12" s="66"/>
      <c r="AD12" s="67"/>
      <c r="AE12" s="66"/>
      <c r="AF12" s="67"/>
      <c r="AG12" s="66"/>
    </row>
    <row r="13" spans="1:33" ht="28.5" customHeight="1">
      <c r="A13" s="4" t="s">
        <v>139</v>
      </c>
      <c r="C13" s="214">
        <v>600000</v>
      </c>
      <c r="E13" s="4">
        <v>12411259200</v>
      </c>
      <c r="G13" s="214">
        <v>17117541000</v>
      </c>
      <c r="I13" s="4">
        <v>0</v>
      </c>
      <c r="J13" s="4">
        <v>0</v>
      </c>
      <c r="K13" s="65"/>
      <c r="L13" s="4">
        <v>300000</v>
      </c>
      <c r="M13" s="4">
        <v>8938678504</v>
      </c>
      <c r="O13" s="4">
        <v>300000</v>
      </c>
      <c r="Q13" s="343">
        <v>23900</v>
      </c>
      <c r="S13" s="4">
        <v>6205629600</v>
      </c>
      <c r="U13" s="214">
        <v>7127338500</v>
      </c>
      <c r="V13" s="65"/>
      <c r="W13" s="8">
        <f>U13/درآمدها!$J$6</f>
        <v>4.114933060671052E-2</v>
      </c>
      <c r="Z13" s="66"/>
      <c r="AC13" s="66"/>
      <c r="AD13" s="67"/>
      <c r="AE13" s="66"/>
      <c r="AF13" s="67"/>
      <c r="AG13" s="66"/>
    </row>
    <row r="14" spans="1:33" ht="28.5" customHeight="1">
      <c r="A14" s="4" t="s">
        <v>140</v>
      </c>
      <c r="C14" s="214">
        <v>72312</v>
      </c>
      <c r="E14" s="4">
        <v>1249646979</v>
      </c>
      <c r="G14" s="214">
        <v>1301778379</v>
      </c>
      <c r="I14" s="4">
        <v>0</v>
      </c>
      <c r="J14" s="4">
        <v>0</v>
      </c>
      <c r="K14" s="65"/>
      <c r="L14" s="4">
        <v>0</v>
      </c>
      <c r="M14" s="4">
        <v>0</v>
      </c>
      <c r="O14" s="4">
        <v>72312</v>
      </c>
      <c r="Q14" s="343">
        <v>21090</v>
      </c>
      <c r="S14" s="4">
        <v>1249646979</v>
      </c>
      <c r="U14" s="214">
        <v>1515985977</v>
      </c>
      <c r="V14" s="65"/>
      <c r="W14" s="8">
        <f>U14/درآمدها!$J$6</f>
        <v>8.7524688441148191E-3</v>
      </c>
      <c r="Z14" s="66"/>
      <c r="AC14" s="66"/>
      <c r="AD14" s="67"/>
      <c r="AE14" s="66"/>
      <c r="AF14" s="67"/>
      <c r="AG14" s="66"/>
    </row>
    <row r="15" spans="1:33" ht="28.5" customHeight="1">
      <c r="A15" s="4" t="s">
        <v>137</v>
      </c>
      <c r="C15" s="214">
        <v>361216</v>
      </c>
      <c r="E15" s="4">
        <v>4696727047</v>
      </c>
      <c r="G15" s="214">
        <v>4333935854</v>
      </c>
      <c r="I15" s="4">
        <v>0</v>
      </c>
      <c r="J15" s="4">
        <v>0</v>
      </c>
      <c r="K15" s="65"/>
      <c r="L15" s="4">
        <v>0</v>
      </c>
      <c r="M15" s="4">
        <v>0</v>
      </c>
      <c r="O15" s="4">
        <v>361216</v>
      </c>
      <c r="Q15" s="343">
        <v>12590</v>
      </c>
      <c r="S15" s="4">
        <v>4696727047</v>
      </c>
      <c r="U15" s="214">
        <v>4520650571</v>
      </c>
      <c r="V15" s="65"/>
      <c r="W15" s="8">
        <f>U15/درآمدها!$J$6</f>
        <v>2.6099748861863892E-2</v>
      </c>
      <c r="Z15" s="66"/>
      <c r="AC15" s="66"/>
      <c r="AD15" s="67"/>
      <c r="AE15" s="66"/>
      <c r="AF15" s="67"/>
      <c r="AG15" s="66"/>
    </row>
    <row r="16" spans="1:33" ht="28.5" customHeight="1">
      <c r="A16" s="4" t="s">
        <v>109</v>
      </c>
      <c r="C16" s="214">
        <v>40979</v>
      </c>
      <c r="E16" s="4">
        <v>219970161</v>
      </c>
      <c r="G16" s="214">
        <v>194632670</v>
      </c>
      <c r="I16" s="4">
        <v>0</v>
      </c>
      <c r="J16" s="4">
        <v>0</v>
      </c>
      <c r="K16" s="65"/>
      <c r="L16" s="4">
        <v>0</v>
      </c>
      <c r="M16" s="4">
        <v>0</v>
      </c>
      <c r="O16" s="4">
        <v>40979</v>
      </c>
      <c r="Q16" s="343">
        <v>4744</v>
      </c>
      <c r="S16" s="4">
        <v>219970161</v>
      </c>
      <c r="U16" s="214">
        <v>193247673</v>
      </c>
      <c r="V16" s="65"/>
      <c r="W16" s="8">
        <f>U16/درآمدها!$J$6</f>
        <v>1.1157057273559388E-3</v>
      </c>
      <c r="Z16" s="66"/>
      <c r="AC16" s="66"/>
      <c r="AD16" s="67"/>
      <c r="AE16" s="66"/>
      <c r="AF16" s="67"/>
      <c r="AG16" s="66"/>
    </row>
    <row r="17" spans="1:33" ht="28.5" customHeight="1">
      <c r="A17" s="4" t="s">
        <v>95</v>
      </c>
      <c r="C17" s="214">
        <v>20107</v>
      </c>
      <c r="E17" s="4">
        <v>231469663</v>
      </c>
      <c r="G17" s="214">
        <v>234851523</v>
      </c>
      <c r="I17" s="4">
        <v>190148</v>
      </c>
      <c r="J17" s="4">
        <v>2269287398</v>
      </c>
      <c r="K17" s="65"/>
      <c r="L17" s="4">
        <v>0</v>
      </c>
      <c r="M17" s="4">
        <v>0</v>
      </c>
      <c r="O17" s="4">
        <v>210255</v>
      </c>
      <c r="Q17" s="343">
        <v>11170</v>
      </c>
      <c r="S17" s="4">
        <v>2500757061</v>
      </c>
      <c r="U17" s="214">
        <v>2334574491</v>
      </c>
      <c r="V17" s="65"/>
      <c r="W17" s="8">
        <f>U17/درآمدها!$J$6</f>
        <v>1.3478548487089808E-2</v>
      </c>
      <c r="Z17" s="66"/>
      <c r="AC17" s="66"/>
      <c r="AD17" s="67"/>
      <c r="AE17" s="66"/>
      <c r="AF17" s="67"/>
      <c r="AG17" s="66"/>
    </row>
    <row r="18" spans="1:33" ht="28.5" customHeight="1">
      <c r="A18" s="4" t="s">
        <v>125</v>
      </c>
      <c r="C18" s="214">
        <v>2613015</v>
      </c>
      <c r="E18" s="4">
        <v>9189959359</v>
      </c>
      <c r="G18" s="214">
        <v>7927471000</v>
      </c>
      <c r="I18" s="4">
        <v>2279565</v>
      </c>
      <c r="J18" s="4">
        <v>7057008862</v>
      </c>
      <c r="K18" s="65"/>
      <c r="L18" s="4">
        <v>0</v>
      </c>
      <c r="M18" s="4">
        <v>0</v>
      </c>
      <c r="O18" s="4">
        <v>4892580</v>
      </c>
      <c r="Q18" s="343">
        <v>3019</v>
      </c>
      <c r="S18" s="4">
        <v>16246968221</v>
      </c>
      <c r="U18" s="214">
        <v>14682813365</v>
      </c>
      <c r="V18" s="65"/>
      <c r="W18" s="8">
        <f>U18/درآمدها!$J$6</f>
        <v>8.4770484998434245E-2</v>
      </c>
      <c r="Z18" s="66"/>
      <c r="AC18" s="66"/>
      <c r="AD18" s="67"/>
      <c r="AE18" s="66"/>
      <c r="AF18" s="67"/>
      <c r="AG18" s="66"/>
    </row>
    <row r="19" spans="1:33" ht="28.5" customHeight="1">
      <c r="A19" s="4" t="s">
        <v>141</v>
      </c>
      <c r="C19" s="214">
        <v>4477052</v>
      </c>
      <c r="E19" s="4">
        <v>5384684933</v>
      </c>
      <c r="G19" s="214">
        <v>5011165651</v>
      </c>
      <c r="I19" s="4">
        <v>0</v>
      </c>
      <c r="J19" s="4">
        <v>0</v>
      </c>
      <c r="K19" s="65"/>
      <c r="L19" s="4">
        <v>0</v>
      </c>
      <c r="M19" s="4">
        <v>0</v>
      </c>
      <c r="O19" s="4">
        <v>4477052</v>
      </c>
      <c r="Q19" s="343">
        <v>1187</v>
      </c>
      <c r="S19" s="4">
        <v>5384684933</v>
      </c>
      <c r="U19" s="214">
        <v>5282640877</v>
      </c>
      <c r="V19" s="65"/>
      <c r="W19" s="8">
        <f>U19/درآمدها!$J$6</f>
        <v>3.0499061595600688E-2</v>
      </c>
      <c r="Z19" s="66"/>
      <c r="AC19" s="68"/>
      <c r="AD19" s="67"/>
      <c r="AE19" s="66"/>
      <c r="AF19" s="67"/>
      <c r="AG19" s="66"/>
    </row>
    <row r="20" spans="1:33" ht="28.5" customHeight="1">
      <c r="A20" s="4" t="s">
        <v>111</v>
      </c>
      <c r="C20" s="214">
        <v>45555</v>
      </c>
      <c r="E20" s="4">
        <v>1071624865</v>
      </c>
      <c r="G20" s="214">
        <v>1274743132</v>
      </c>
      <c r="I20" s="4">
        <v>0</v>
      </c>
      <c r="J20" s="4">
        <v>0</v>
      </c>
      <c r="K20" s="65"/>
      <c r="L20" s="4">
        <v>0</v>
      </c>
      <c r="M20" s="4">
        <v>0</v>
      </c>
      <c r="O20" s="4">
        <v>45555</v>
      </c>
      <c r="Q20" s="343">
        <v>28420</v>
      </c>
      <c r="S20" s="4">
        <v>1071624865</v>
      </c>
      <c r="U20" s="214">
        <v>1286969797</v>
      </c>
      <c r="V20" s="65"/>
      <c r="W20" s="8">
        <f>U20/درآمدها!$J$6</f>
        <v>7.4302554393346305E-3</v>
      </c>
      <c r="Z20" s="66"/>
      <c r="AC20" s="66"/>
      <c r="AD20" s="67"/>
      <c r="AE20" s="66"/>
      <c r="AF20" s="67"/>
      <c r="AG20" s="66"/>
    </row>
    <row r="21" spans="1:33" ht="28.5" customHeight="1">
      <c r="A21" s="4" t="s">
        <v>97</v>
      </c>
      <c r="C21" s="214">
        <v>250116</v>
      </c>
      <c r="E21" s="4">
        <v>5312641070</v>
      </c>
      <c r="G21" s="214">
        <v>4440492686</v>
      </c>
      <c r="I21" s="4">
        <v>0</v>
      </c>
      <c r="J21" s="4">
        <v>0</v>
      </c>
      <c r="K21" s="65"/>
      <c r="L21" s="4">
        <v>0</v>
      </c>
      <c r="M21" s="4">
        <v>0</v>
      </c>
      <c r="O21" s="4">
        <v>250116</v>
      </c>
      <c r="Q21" s="343">
        <v>20120</v>
      </c>
      <c r="S21" s="4">
        <v>5312641070</v>
      </c>
      <c r="U21" s="214">
        <v>5002391535</v>
      </c>
      <c r="V21" s="65"/>
      <c r="W21" s="8">
        <f>U21/درآمدها!$J$6</f>
        <v>2.888105610501383E-2</v>
      </c>
      <c r="Z21" s="66"/>
      <c r="AC21" s="66"/>
      <c r="AD21" s="67"/>
      <c r="AE21" s="66"/>
      <c r="AF21" s="67"/>
      <c r="AG21" s="66"/>
    </row>
    <row r="22" spans="1:33" ht="28.5" customHeight="1">
      <c r="A22" s="4" t="s">
        <v>98</v>
      </c>
      <c r="C22" s="214">
        <v>452614</v>
      </c>
      <c r="E22" s="4">
        <v>8304371275</v>
      </c>
      <c r="G22" s="214">
        <v>7855619733</v>
      </c>
      <c r="I22" s="4">
        <v>0</v>
      </c>
      <c r="J22" s="4">
        <v>0</v>
      </c>
      <c r="K22" s="65"/>
      <c r="L22" s="4">
        <v>0</v>
      </c>
      <c r="M22" s="4">
        <v>0</v>
      </c>
      <c r="O22" s="4">
        <v>452614</v>
      </c>
      <c r="Q22" s="343">
        <v>17550</v>
      </c>
      <c r="S22" s="4">
        <v>8304371275</v>
      </c>
      <c r="U22" s="214">
        <v>7896112617</v>
      </c>
      <c r="V22" s="65"/>
      <c r="W22" s="8">
        <f>U22/درآمدها!$J$6</f>
        <v>4.5587809332298612E-2</v>
      </c>
      <c r="Z22" s="66"/>
      <c r="AC22" s="66"/>
      <c r="AD22" s="67"/>
      <c r="AE22" s="66"/>
      <c r="AF22" s="67"/>
      <c r="AG22" s="66"/>
    </row>
    <row r="23" spans="1:33" ht="28.5" customHeight="1">
      <c r="A23" s="4" t="s">
        <v>142</v>
      </c>
      <c r="C23" s="214">
        <v>229000</v>
      </c>
      <c r="E23" s="4">
        <v>15127723506</v>
      </c>
      <c r="G23" s="214">
        <v>17289064329</v>
      </c>
      <c r="I23" s="4">
        <v>0</v>
      </c>
      <c r="J23" s="4">
        <v>0</v>
      </c>
      <c r="K23" s="65"/>
      <c r="L23" s="4">
        <v>114500</v>
      </c>
      <c r="M23" s="4">
        <v>9197157308</v>
      </c>
      <c r="O23" s="4">
        <v>114500</v>
      </c>
      <c r="Q23" s="343">
        <v>73650</v>
      </c>
      <c r="S23" s="4">
        <v>7563861753</v>
      </c>
      <c r="U23" s="214">
        <v>8382749099</v>
      </c>
      <c r="V23" s="65"/>
      <c r="W23" s="8">
        <f>U23/درآمدها!$J$6</f>
        <v>4.8397380602570754E-2</v>
      </c>
      <c r="Z23" s="66"/>
      <c r="AC23" s="66"/>
      <c r="AD23" s="67"/>
      <c r="AE23" s="66"/>
      <c r="AF23" s="67"/>
      <c r="AG23" s="66"/>
    </row>
    <row r="24" spans="1:33" ht="28.5" customHeight="1">
      <c r="A24" s="4" t="s">
        <v>112</v>
      </c>
      <c r="C24" s="214">
        <v>91504</v>
      </c>
      <c r="E24" s="4">
        <v>1408013913</v>
      </c>
      <c r="G24" s="214">
        <v>1509018957</v>
      </c>
      <c r="I24" s="4">
        <v>0</v>
      </c>
      <c r="J24" s="4">
        <v>0</v>
      </c>
      <c r="K24" s="65"/>
      <c r="L24" s="4">
        <v>0</v>
      </c>
      <c r="M24" s="4">
        <v>0</v>
      </c>
      <c r="O24" s="4">
        <v>91504</v>
      </c>
      <c r="Q24" s="343">
        <v>16770</v>
      </c>
      <c r="S24" s="4">
        <v>1408013913</v>
      </c>
      <c r="U24" s="214">
        <v>1525391677</v>
      </c>
      <c r="V24" s="65"/>
      <c r="W24" s="8">
        <f>U24/درآمدها!$J$6</f>
        <v>8.8067721803303696E-3</v>
      </c>
      <c r="Z24" s="66"/>
      <c r="AC24" s="66"/>
      <c r="AD24" s="67"/>
      <c r="AE24" s="66"/>
      <c r="AF24" s="67"/>
      <c r="AG24" s="66"/>
    </row>
    <row r="25" spans="1:33" ht="28.5" customHeight="1">
      <c r="A25" s="4" t="s">
        <v>143</v>
      </c>
      <c r="C25" s="214">
        <v>200000</v>
      </c>
      <c r="E25" s="4">
        <v>1691534520</v>
      </c>
      <c r="G25" s="214">
        <v>2461267800</v>
      </c>
      <c r="I25" s="4">
        <v>0</v>
      </c>
      <c r="J25" s="4">
        <v>0</v>
      </c>
      <c r="K25" s="65"/>
      <c r="L25" s="4">
        <v>0</v>
      </c>
      <c r="M25" s="4">
        <v>0</v>
      </c>
      <c r="O25" s="4">
        <v>200000</v>
      </c>
      <c r="Q25" s="343">
        <v>10100</v>
      </c>
      <c r="S25" s="4">
        <v>1691534520</v>
      </c>
      <c r="U25" s="214">
        <v>2007981000</v>
      </c>
      <c r="V25" s="65"/>
      <c r="W25" s="8">
        <f>U25/درآمدها!$J$6</f>
        <v>1.1592977381527928E-2</v>
      </c>
      <c r="Z25" s="66"/>
      <c r="AC25" s="66"/>
      <c r="AD25" s="67"/>
      <c r="AE25" s="66"/>
      <c r="AF25" s="67"/>
      <c r="AG25" s="66"/>
    </row>
    <row r="26" spans="1:33" ht="28.5" customHeight="1">
      <c r="A26" s="4" t="s">
        <v>123</v>
      </c>
      <c r="C26" s="214">
        <v>704069</v>
      </c>
      <c r="E26" s="4">
        <v>5700235753</v>
      </c>
      <c r="G26" s="214">
        <v>5578041927</v>
      </c>
      <c r="I26" s="4">
        <v>0</v>
      </c>
      <c r="J26" s="4">
        <v>0</v>
      </c>
      <c r="K26" s="65"/>
      <c r="L26" s="4">
        <v>0</v>
      </c>
      <c r="M26" s="4">
        <v>0</v>
      </c>
      <c r="O26" s="4">
        <v>704069</v>
      </c>
      <c r="Q26" s="343">
        <v>8050</v>
      </c>
      <c r="S26" s="4">
        <v>5700235753</v>
      </c>
      <c r="U26" s="214">
        <v>5634032308</v>
      </c>
      <c r="V26" s="65"/>
      <c r="W26" s="8">
        <f>U26/درآمدها!$J$6</f>
        <v>3.2527802361397642E-2</v>
      </c>
      <c r="Z26" s="66"/>
      <c r="AC26" s="66"/>
      <c r="AD26" s="67"/>
      <c r="AE26" s="66"/>
      <c r="AF26" s="67"/>
      <c r="AG26" s="66"/>
    </row>
    <row r="27" spans="1:33" ht="28.5" customHeight="1">
      <c r="A27" s="4" t="s">
        <v>114</v>
      </c>
      <c r="C27" s="214">
        <v>40952</v>
      </c>
      <c r="E27" s="4">
        <v>1046830200</v>
      </c>
      <c r="G27" s="214">
        <v>1040097979</v>
      </c>
      <c r="I27" s="4">
        <v>0</v>
      </c>
      <c r="J27" s="4">
        <v>0</v>
      </c>
      <c r="K27" s="65"/>
      <c r="L27" s="4">
        <v>0</v>
      </c>
      <c r="M27" s="4">
        <v>0</v>
      </c>
      <c r="O27" s="4">
        <v>40952</v>
      </c>
      <c r="Q27" s="343">
        <v>22300</v>
      </c>
      <c r="S27" s="4">
        <v>1046830200</v>
      </c>
      <c r="U27" s="214">
        <v>907795888</v>
      </c>
      <c r="V27" s="65"/>
      <c r="W27" s="8">
        <f>U27/درآمدها!$J$6</f>
        <v>5.2411139331637402E-3</v>
      </c>
      <c r="Z27" s="66"/>
      <c r="AC27" s="66"/>
      <c r="AD27" s="67"/>
      <c r="AE27" s="66"/>
      <c r="AF27" s="67"/>
      <c r="AG27" s="66"/>
    </row>
    <row r="28" spans="1:33" ht="28.5" customHeight="1">
      <c r="A28" s="4" t="s">
        <v>99</v>
      </c>
      <c r="C28" s="214">
        <v>184836</v>
      </c>
      <c r="E28" s="4">
        <v>9505771751</v>
      </c>
      <c r="G28" s="214">
        <v>8466565288</v>
      </c>
      <c r="I28" s="4">
        <v>0</v>
      </c>
      <c r="J28" s="4">
        <v>0</v>
      </c>
      <c r="K28" s="65"/>
      <c r="L28" s="4">
        <v>0</v>
      </c>
      <c r="M28" s="4">
        <v>0</v>
      </c>
      <c r="O28" s="4">
        <v>184836</v>
      </c>
      <c r="Q28" s="343">
        <v>50340</v>
      </c>
      <c r="S28" s="4">
        <v>9505771751</v>
      </c>
      <c r="U28" s="214">
        <v>9249281610</v>
      </c>
      <c r="V28" s="65"/>
      <c r="W28" s="8">
        <f>U28/درآمدها!$J$6</f>
        <v>5.3400262502539729E-2</v>
      </c>
      <c r="Z28" s="66"/>
      <c r="AC28" s="66"/>
      <c r="AD28" s="67"/>
      <c r="AE28" s="66"/>
      <c r="AF28" s="67"/>
      <c r="AG28" s="66"/>
    </row>
    <row r="29" spans="1:33" ht="28.5" customHeight="1">
      <c r="A29" s="4" t="s">
        <v>100</v>
      </c>
      <c r="C29" s="214">
        <v>1382344</v>
      </c>
      <c r="E29" s="4">
        <v>14736702653</v>
      </c>
      <c r="G29" s="214">
        <v>11089140762</v>
      </c>
      <c r="I29" s="4">
        <v>0</v>
      </c>
      <c r="J29" s="4">
        <v>0</v>
      </c>
      <c r="K29" s="65"/>
      <c r="L29" s="4">
        <v>0</v>
      </c>
      <c r="M29" s="4">
        <v>0</v>
      </c>
      <c r="O29" s="4">
        <v>1382344</v>
      </c>
      <c r="Q29" s="343">
        <v>8480</v>
      </c>
      <c r="S29" s="4">
        <v>14736702653</v>
      </c>
      <c r="U29" s="214">
        <v>11652529575</v>
      </c>
      <c r="V29" s="65"/>
      <c r="W29" s="8">
        <f>U29/درآمدها!$J$6</f>
        <v>6.7275293840210762E-2</v>
      </c>
      <c r="Z29" s="66"/>
      <c r="AC29" s="66"/>
      <c r="AD29" s="67"/>
      <c r="AE29" s="66"/>
      <c r="AF29" s="67"/>
      <c r="AG29" s="66"/>
    </row>
    <row r="30" spans="1:33" ht="28.5" customHeight="1">
      <c r="A30" s="4" t="s">
        <v>101</v>
      </c>
      <c r="C30" s="214">
        <v>1205666</v>
      </c>
      <c r="E30" s="4">
        <v>8593073350</v>
      </c>
      <c r="G30" s="214">
        <v>9024646929</v>
      </c>
      <c r="I30" s="4">
        <v>0</v>
      </c>
      <c r="J30" s="4">
        <v>0</v>
      </c>
      <c r="K30" s="65"/>
      <c r="L30" s="4">
        <v>0</v>
      </c>
      <c r="M30" s="4">
        <v>0</v>
      </c>
      <c r="O30" s="4">
        <v>1205666</v>
      </c>
      <c r="Q30" s="343">
        <v>7890</v>
      </c>
      <c r="S30" s="4">
        <v>8593073350</v>
      </c>
      <c r="U30" s="214">
        <v>9456104149</v>
      </c>
      <c r="V30" s="65"/>
      <c r="W30" s="8">
        <f>U30/درآمدها!$J$6</f>
        <v>5.459434203646818E-2</v>
      </c>
      <c r="Z30" s="66"/>
      <c r="AC30" s="66"/>
      <c r="AD30" s="67"/>
      <c r="AE30" s="66"/>
      <c r="AF30" s="67"/>
      <c r="AG30" s="66"/>
    </row>
    <row r="31" spans="1:33" ht="28.5" customHeight="1">
      <c r="A31" s="4" t="s">
        <v>102</v>
      </c>
      <c r="C31" s="214">
        <v>2001443</v>
      </c>
      <c r="E31" s="4">
        <v>7058294007</v>
      </c>
      <c r="G31" s="214">
        <v>6953422781</v>
      </c>
      <c r="I31" s="4">
        <v>0</v>
      </c>
      <c r="J31" s="4">
        <v>0</v>
      </c>
      <c r="K31" s="65"/>
      <c r="L31" s="4">
        <v>0</v>
      </c>
      <c r="M31" s="4">
        <v>0</v>
      </c>
      <c r="O31" s="4">
        <v>2001443</v>
      </c>
      <c r="Q31" s="343">
        <v>3405</v>
      </c>
      <c r="S31" s="4">
        <v>7058294007</v>
      </c>
      <c r="U31" s="214">
        <v>6774364683</v>
      </c>
      <c r="V31" s="65"/>
      <c r="W31" s="8">
        <f>U31/درآمدها!$J$6</f>
        <v>3.9111454014873953E-2</v>
      </c>
      <c r="Z31" s="66"/>
      <c r="AC31" s="66"/>
      <c r="AD31" s="67"/>
      <c r="AE31" s="66"/>
      <c r="AF31" s="67"/>
      <c r="AG31" s="66"/>
    </row>
    <row r="32" spans="1:33" ht="28.5" customHeight="1">
      <c r="A32" s="4" t="s">
        <v>144</v>
      </c>
      <c r="C32" s="214">
        <v>1460623</v>
      </c>
      <c r="E32" s="4">
        <v>8949590588</v>
      </c>
      <c r="G32" s="214">
        <v>7622644542</v>
      </c>
      <c r="I32" s="4">
        <v>0</v>
      </c>
      <c r="J32" s="4">
        <v>0</v>
      </c>
      <c r="K32" s="65"/>
      <c r="L32" s="4">
        <v>0</v>
      </c>
      <c r="M32" s="4">
        <v>0</v>
      </c>
      <c r="O32" s="4">
        <v>1460623</v>
      </c>
      <c r="Q32" s="343">
        <v>4545</v>
      </c>
      <c r="S32" s="4">
        <v>8949590588</v>
      </c>
      <c r="U32" s="214">
        <v>6599032277</v>
      </c>
      <c r="V32" s="65"/>
      <c r="W32" s="8">
        <f>U32/درآمدها!$J$6</f>
        <v>3.8099181181113641E-2</v>
      </c>
      <c r="Z32" s="66"/>
      <c r="AC32" s="66"/>
      <c r="AD32" s="67"/>
      <c r="AE32" s="66"/>
      <c r="AF32" s="67"/>
      <c r="AG32" s="66"/>
    </row>
    <row r="33" spans="1:33" ht="28.5" customHeight="1" thickBot="1">
      <c r="A33" s="4" t="s">
        <v>2</v>
      </c>
      <c r="C33" s="214"/>
      <c r="E33" s="215">
        <f>SUM(E11:E32)</f>
        <v>123477289921</v>
      </c>
      <c r="G33" s="216">
        <f>SUM(G11:G32)</f>
        <v>122427108840</v>
      </c>
      <c r="J33" s="215">
        <f>SUM(J11:J32)</f>
        <v>10817004960</v>
      </c>
      <c r="K33" s="65"/>
      <c r="M33" s="215">
        <f>SUM(M11:M32)</f>
        <v>18135835812</v>
      </c>
      <c r="S33" s="215">
        <f>SUM(S11:S32)</f>
        <v>120524803528</v>
      </c>
      <c r="U33" s="215">
        <f>SUM(U11:U32)</f>
        <v>115309523838</v>
      </c>
      <c r="V33" s="65"/>
      <c r="W33" s="58">
        <f>SUM(W11:W32)</f>
        <v>0.66573374037338473</v>
      </c>
      <c r="Z33" s="66"/>
      <c r="AC33" s="66"/>
      <c r="AD33" s="67"/>
      <c r="AE33" s="66"/>
      <c r="AF33" s="67"/>
      <c r="AG33" s="66"/>
    </row>
    <row r="34" spans="1:33" ht="31.5" thickTop="1">
      <c r="A34" s="4"/>
    </row>
    <row r="35" spans="1:33" s="42" customFormat="1" ht="33"/>
    <row r="36" spans="1:33" s="42" customFormat="1" ht="33"/>
    <row r="37" spans="1:33" s="42" customFormat="1" ht="33"/>
    <row r="38" spans="1:33" s="42" customFormat="1" ht="33"/>
    <row r="39" spans="1:33" s="42" customFormat="1" ht="33"/>
    <row r="40" spans="1:33" s="42" customFormat="1" ht="33"/>
    <row r="41" spans="1:33" s="126" customFormat="1" ht="33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W41" s="242"/>
      <c r="X41" s="42"/>
      <c r="Y41" s="42"/>
      <c r="AA41" s="243"/>
      <c r="AB41" s="243"/>
    </row>
    <row r="42" spans="1:33" s="126" customFormat="1" ht="33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W42" s="242"/>
      <c r="X42" s="42"/>
      <c r="Y42" s="42"/>
      <c r="AA42" s="243"/>
      <c r="AB42" s="243"/>
    </row>
    <row r="43" spans="1:33" s="126" customFormat="1" ht="33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W43" s="242"/>
      <c r="X43" s="42"/>
      <c r="Y43" s="42"/>
      <c r="AA43" s="243"/>
      <c r="AB43" s="243"/>
    </row>
    <row r="44" spans="1:33" s="126" customFormat="1" ht="33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W44" s="242"/>
      <c r="X44" s="42"/>
      <c r="Y44" s="42"/>
      <c r="AA44" s="243"/>
      <c r="AB44" s="243"/>
    </row>
  </sheetData>
  <autoFilter ref="A10:W10" xr:uid="{00000000-0009-0000-0000-000001000000}">
    <sortState xmlns:xlrd2="http://schemas.microsoft.com/office/spreadsheetml/2017/richdata2" ref="A12:W38">
      <sortCondition descending="1" ref="U10"/>
    </sortState>
  </autoFilter>
  <mergeCells count="23">
    <mergeCell ref="C8:G8"/>
    <mergeCell ref="O8:W8"/>
    <mergeCell ref="F9:F10"/>
    <mergeCell ref="G9:G10"/>
    <mergeCell ref="U9:U10"/>
    <mergeCell ref="Q9:Q10"/>
    <mergeCell ref="W9:W10"/>
    <mergeCell ref="A1:W1"/>
    <mergeCell ref="A2:W2"/>
    <mergeCell ref="A3:W3"/>
    <mergeCell ref="A9:A10"/>
    <mergeCell ref="I9:J9"/>
    <mergeCell ref="L9:M9"/>
    <mergeCell ref="P9:P10"/>
    <mergeCell ref="T9:T10"/>
    <mergeCell ref="S9:S10"/>
    <mergeCell ref="O9:O10"/>
    <mergeCell ref="E9:E10"/>
    <mergeCell ref="C9:C10"/>
    <mergeCell ref="D9:D10"/>
    <mergeCell ref="A6:W6"/>
    <mergeCell ref="A5:W5"/>
    <mergeCell ref="I8:M8"/>
  </mergeCells>
  <printOptions horizontalCentered="1"/>
  <pageMargins left="0" right="0" top="0.74803149606299202" bottom="0.74803149606299202" header="0.31496062992126" footer="0.31496062992126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27"/>
  <sheetViews>
    <sheetView rightToLeft="1" view="pageBreakPreview" zoomScale="55" zoomScaleNormal="100" zoomScaleSheetLayoutView="55" workbookViewId="0">
      <selection activeCell="A4" sqref="A4"/>
    </sheetView>
  </sheetViews>
  <sheetFormatPr defaultColWidth="9.140625" defaultRowHeight="15.75"/>
  <cols>
    <col min="1" max="1" width="45.7109375" style="143" customWidth="1"/>
    <col min="2" max="2" width="0.5703125" style="143" customWidth="1"/>
    <col min="3" max="3" width="12.5703125" style="143" customWidth="1"/>
    <col min="4" max="4" width="0.5703125" style="143" customWidth="1"/>
    <col min="5" max="5" width="29.140625" style="143" customWidth="1"/>
    <col min="6" max="6" width="0.5703125" style="143" customWidth="1"/>
    <col min="7" max="7" width="15.42578125" style="143" bestFit="1" customWidth="1"/>
    <col min="8" max="8" width="0.5703125" style="143" customWidth="1"/>
    <col min="9" max="9" width="16.5703125" style="143" bestFit="1" customWidth="1"/>
    <col min="10" max="10" width="0.42578125" style="143" customWidth="1"/>
    <col min="11" max="11" width="20.42578125" style="143" bestFit="1" customWidth="1"/>
    <col min="12" max="12" width="0.7109375" style="143" customWidth="1"/>
    <col min="13" max="13" width="13.7109375" style="143" bestFit="1" customWidth="1"/>
    <col min="14" max="14" width="1.140625" style="143" customWidth="1"/>
    <col min="15" max="15" width="22.85546875" style="143" bestFit="1" customWidth="1"/>
    <col min="16" max="16" width="0.5703125" style="143" customWidth="1"/>
    <col min="17" max="17" width="25.42578125" style="143" bestFit="1" customWidth="1"/>
    <col min="18" max="18" width="0.5703125" style="143" customWidth="1"/>
    <col min="19" max="19" width="13.7109375" style="143" bestFit="1" customWidth="1"/>
    <col min="20" max="20" width="25.42578125" style="143" bestFit="1" customWidth="1"/>
    <col min="21" max="21" width="0.5703125" style="143" customWidth="1"/>
    <col min="22" max="22" width="12.140625" style="143" bestFit="1" customWidth="1"/>
    <col min="23" max="23" width="23.7109375" style="143" bestFit="1" customWidth="1"/>
    <col min="24" max="24" width="0.5703125" style="143" customWidth="1"/>
    <col min="25" max="25" width="14.7109375" style="143" bestFit="1" customWidth="1"/>
    <col min="26" max="26" width="0.42578125" style="143" customWidth="1"/>
    <col min="27" max="27" width="23" style="143" bestFit="1" customWidth="1"/>
    <col min="28" max="28" width="0.7109375" style="143" customWidth="1"/>
    <col min="29" max="29" width="25.42578125" style="143" bestFit="1" customWidth="1"/>
    <col min="30" max="30" width="0.7109375" style="143" customWidth="1"/>
    <col min="31" max="31" width="25.42578125" style="143" bestFit="1" customWidth="1"/>
    <col min="32" max="32" width="0.7109375" style="143" customWidth="1"/>
    <col min="33" max="33" width="16.5703125" style="143" customWidth="1"/>
    <col min="34" max="34" width="9.140625" style="143"/>
    <col min="35" max="35" width="25.42578125" style="143" bestFit="1" customWidth="1"/>
    <col min="36" max="16384" width="9.140625" style="143"/>
  </cols>
  <sheetData>
    <row r="1" spans="1:35" s="81" customFormat="1" ht="24.75">
      <c r="A1" s="265" t="s">
        <v>94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5" s="81" customFormat="1" ht="24.75">
      <c r="A2" s="265" t="s">
        <v>51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</row>
    <row r="3" spans="1:35" s="81" customFormat="1" ht="24.75">
      <c r="A3" s="265" t="str">
        <f>' سهام'!A3:W3</f>
        <v>برای ماه منتهی به 1402/12/29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</row>
    <row r="4" spans="1:35" s="81" customFormat="1" ht="24.7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</row>
    <row r="5" spans="1:35" ht="24.75">
      <c r="A5" s="266" t="s">
        <v>68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</row>
    <row r="6" spans="1:35" ht="24.7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</row>
    <row r="7" spans="1:35" ht="27.75" customHeight="1" thickBot="1">
      <c r="A7" s="267" t="s">
        <v>69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 t="str" cm="1">
        <f t="array" ref="M7:Q7">' سهام'!C8:G8</f>
        <v>1402/11/30</v>
      </c>
      <c r="N7" s="267">
        <v>0</v>
      </c>
      <c r="O7" s="267">
        <v>0</v>
      </c>
      <c r="P7" s="267">
        <v>0</v>
      </c>
      <c r="Q7" s="267">
        <v>0</v>
      </c>
      <c r="R7" s="230"/>
      <c r="S7" s="268" t="s">
        <v>7</v>
      </c>
      <c r="T7" s="268"/>
      <c r="U7" s="268"/>
      <c r="V7" s="268"/>
      <c r="W7" s="268"/>
      <c r="X7" s="229"/>
      <c r="Y7" s="267" t="str" cm="1">
        <f t="array" ref="Y7:AG7">' سهام'!O8:W8</f>
        <v>1402/12/29</v>
      </c>
      <c r="Z7" s="267">
        <v>0</v>
      </c>
      <c r="AA7" s="267">
        <v>0</v>
      </c>
      <c r="AB7" s="267">
        <v>0</v>
      </c>
      <c r="AC7" s="267">
        <v>0</v>
      </c>
      <c r="AD7" s="267">
        <v>0</v>
      </c>
      <c r="AE7" s="267">
        <v>0</v>
      </c>
      <c r="AF7" s="267">
        <v>0</v>
      </c>
      <c r="AG7" s="267">
        <v>0</v>
      </c>
    </row>
    <row r="8" spans="1:35" ht="26.25" customHeight="1">
      <c r="A8" s="270" t="s">
        <v>70</v>
      </c>
      <c r="B8" s="228"/>
      <c r="C8" s="271" t="s">
        <v>71</v>
      </c>
      <c r="D8" s="228"/>
      <c r="E8" s="273" t="s">
        <v>76</v>
      </c>
      <c r="F8" s="228"/>
      <c r="G8" s="269" t="s">
        <v>72</v>
      </c>
      <c r="H8" s="228"/>
      <c r="I8" s="271" t="s">
        <v>23</v>
      </c>
      <c r="J8" s="228"/>
      <c r="K8" s="273" t="s">
        <v>73</v>
      </c>
      <c r="L8" s="144"/>
      <c r="M8" s="274" t="s">
        <v>3</v>
      </c>
      <c r="N8" s="269"/>
      <c r="O8" s="269" t="s">
        <v>0</v>
      </c>
      <c r="P8" s="269"/>
      <c r="Q8" s="269" t="s">
        <v>21</v>
      </c>
      <c r="R8" s="228"/>
      <c r="S8" s="265" t="s">
        <v>4</v>
      </c>
      <c r="T8" s="265"/>
      <c r="U8" s="229"/>
      <c r="V8" s="265" t="s">
        <v>5</v>
      </c>
      <c r="W8" s="265"/>
      <c r="X8" s="229"/>
      <c r="Y8" s="274" t="s">
        <v>3</v>
      </c>
      <c r="Z8" s="270"/>
      <c r="AA8" s="269" t="s">
        <v>74</v>
      </c>
      <c r="AB8" s="228"/>
      <c r="AC8" s="269" t="s">
        <v>0</v>
      </c>
      <c r="AD8" s="270"/>
      <c r="AE8" s="269" t="s">
        <v>21</v>
      </c>
      <c r="AF8" s="145"/>
      <c r="AG8" s="269" t="s">
        <v>22</v>
      </c>
    </row>
    <row r="9" spans="1:35" s="148" customFormat="1" ht="55.5" customHeight="1" thickBot="1">
      <c r="A9" s="267"/>
      <c r="B9" s="228"/>
      <c r="C9" s="272"/>
      <c r="D9" s="228"/>
      <c r="E9" s="272"/>
      <c r="F9" s="228"/>
      <c r="G9" s="267"/>
      <c r="H9" s="228"/>
      <c r="I9" s="272"/>
      <c r="J9" s="228"/>
      <c r="K9" s="272"/>
      <c r="L9" s="230"/>
      <c r="M9" s="275"/>
      <c r="N9" s="270"/>
      <c r="O9" s="267"/>
      <c r="P9" s="270"/>
      <c r="Q9" s="267"/>
      <c r="R9" s="228"/>
      <c r="S9" s="146" t="s">
        <v>3</v>
      </c>
      <c r="T9" s="146" t="s">
        <v>0</v>
      </c>
      <c r="U9" s="147"/>
      <c r="V9" s="146" t="s">
        <v>3</v>
      </c>
      <c r="W9" s="146" t="s">
        <v>50</v>
      </c>
      <c r="X9" s="147"/>
      <c r="Y9" s="275"/>
      <c r="Z9" s="270"/>
      <c r="AA9" s="267"/>
      <c r="AB9" s="228"/>
      <c r="AC9" s="267"/>
      <c r="AD9" s="270"/>
      <c r="AE9" s="267"/>
      <c r="AF9" s="145"/>
      <c r="AG9" s="267"/>
    </row>
    <row r="10" spans="1:35" s="148" customFormat="1" ht="55.5" customHeight="1">
      <c r="A10" s="149" t="s">
        <v>118</v>
      </c>
      <c r="B10" s="228"/>
      <c r="C10" s="150" t="s">
        <v>119</v>
      </c>
      <c r="D10" s="60"/>
      <c r="E10" s="150" t="s">
        <v>119</v>
      </c>
      <c r="F10" s="60"/>
      <c r="G10" s="150" t="s">
        <v>120</v>
      </c>
      <c r="H10" s="60"/>
      <c r="I10" s="150" t="s">
        <v>121</v>
      </c>
      <c r="J10" s="150"/>
      <c r="K10" s="151" t="s">
        <v>122</v>
      </c>
      <c r="L10" s="230"/>
      <c r="M10" s="4">
        <v>3000</v>
      </c>
      <c r="N10" s="65"/>
      <c r="O10" s="4">
        <v>2082373207</v>
      </c>
      <c r="P10" s="4"/>
      <c r="Q10" s="4">
        <v>2119835712</v>
      </c>
      <c r="R10" s="4"/>
      <c r="S10" s="4">
        <v>0</v>
      </c>
      <c r="T10" s="4">
        <v>0</v>
      </c>
      <c r="U10" s="4"/>
      <c r="V10" s="4">
        <v>0</v>
      </c>
      <c r="W10" s="4">
        <v>0</v>
      </c>
      <c r="X10" s="4"/>
      <c r="Y10" s="4">
        <v>3000</v>
      </c>
      <c r="Z10" s="4"/>
      <c r="AA10" s="342">
        <v>712670</v>
      </c>
      <c r="AB10" s="4"/>
      <c r="AC10" s="4">
        <v>2082373207</v>
      </c>
      <c r="AD10" s="4"/>
      <c r="AE10" s="4">
        <v>2137622487</v>
      </c>
      <c r="AG10" s="8">
        <f>AE10/درآمدها!$J$6</f>
        <v>1.2341455990886607E-2</v>
      </c>
      <c r="AI10" s="4"/>
    </row>
    <row r="11" spans="1:35" s="148" customFormat="1" ht="55.5" customHeight="1">
      <c r="A11" s="149" t="s">
        <v>126</v>
      </c>
      <c r="B11" s="228"/>
      <c r="C11" s="150" t="s">
        <v>119</v>
      </c>
      <c r="D11" s="60"/>
      <c r="E11" s="150" t="s">
        <v>119</v>
      </c>
      <c r="F11" s="60"/>
      <c r="G11" s="150" t="s">
        <v>129</v>
      </c>
      <c r="H11" s="60"/>
      <c r="I11" s="150" t="s">
        <v>132</v>
      </c>
      <c r="J11" s="150"/>
      <c r="K11" s="151" t="s">
        <v>122</v>
      </c>
      <c r="L11" s="230"/>
      <c r="M11" s="4">
        <v>15220</v>
      </c>
      <c r="N11" s="65"/>
      <c r="O11" s="4">
        <v>10260017426</v>
      </c>
      <c r="P11" s="4"/>
      <c r="Q11" s="4">
        <v>10325354792</v>
      </c>
      <c r="R11" s="4"/>
      <c r="S11" s="4">
        <v>0</v>
      </c>
      <c r="T11" s="4">
        <v>0</v>
      </c>
      <c r="U11" s="4"/>
      <c r="V11" s="4">
        <v>0</v>
      </c>
      <c r="W11" s="4">
        <v>0</v>
      </c>
      <c r="X11" s="4"/>
      <c r="Y11" s="4">
        <v>15220</v>
      </c>
      <c r="Z11" s="4"/>
      <c r="AA11" s="342">
        <v>676260</v>
      </c>
      <c r="AB11" s="4"/>
      <c r="AC11" s="4">
        <v>10260017426</v>
      </c>
      <c r="AD11" s="4"/>
      <c r="AE11" s="4">
        <v>10290811655</v>
      </c>
      <c r="AG11" s="8">
        <f>AE11/درآمدها!$J$6</f>
        <v>5.9413483869607826E-2</v>
      </c>
      <c r="AI11" s="4"/>
    </row>
    <row r="12" spans="1:35" s="148" customFormat="1" ht="55.5" customHeight="1">
      <c r="A12" s="149" t="s">
        <v>145</v>
      </c>
      <c r="B12" s="228"/>
      <c r="C12" s="150" t="s">
        <v>119</v>
      </c>
      <c r="D12" s="60"/>
      <c r="E12" s="150" t="s">
        <v>119</v>
      </c>
      <c r="F12" s="60"/>
      <c r="G12" s="150" t="s">
        <v>146</v>
      </c>
      <c r="H12" s="60"/>
      <c r="I12" s="150" t="s">
        <v>147</v>
      </c>
      <c r="J12" s="150"/>
      <c r="K12" s="151" t="s">
        <v>122</v>
      </c>
      <c r="L12" s="230"/>
      <c r="M12" s="4">
        <v>8000</v>
      </c>
      <c r="N12" s="65"/>
      <c r="O12" s="4">
        <v>4953173588</v>
      </c>
      <c r="P12" s="4"/>
      <c r="Q12" s="4">
        <v>4972698535</v>
      </c>
      <c r="R12" s="4"/>
      <c r="S12" s="4">
        <v>0</v>
      </c>
      <c r="T12" s="4">
        <v>0</v>
      </c>
      <c r="U12" s="4"/>
      <c r="V12" s="4">
        <v>0</v>
      </c>
      <c r="W12" s="4">
        <v>0</v>
      </c>
      <c r="X12" s="4"/>
      <c r="Y12" s="4">
        <v>8000</v>
      </c>
      <c r="Z12" s="4"/>
      <c r="AA12" s="342">
        <v>619920</v>
      </c>
      <c r="AB12" s="4"/>
      <c r="AC12" s="4">
        <v>4953173588</v>
      </c>
      <c r="AD12" s="4"/>
      <c r="AE12" s="4">
        <v>4958461117</v>
      </c>
      <c r="AG12" s="8">
        <f>AE12/درآمدها!$J$6</f>
        <v>2.8627426044652172E-2</v>
      </c>
      <c r="AI12" s="4"/>
    </row>
    <row r="13" spans="1:35" s="148" customFormat="1" ht="55.5" customHeight="1">
      <c r="A13" s="149" t="s">
        <v>127</v>
      </c>
      <c r="B13" s="228"/>
      <c r="C13" s="150" t="s">
        <v>119</v>
      </c>
      <c r="D13" s="60"/>
      <c r="E13" s="150" t="s">
        <v>119</v>
      </c>
      <c r="F13" s="60"/>
      <c r="G13" s="150" t="s">
        <v>130</v>
      </c>
      <c r="H13" s="60"/>
      <c r="I13" s="150" t="s">
        <v>133</v>
      </c>
      <c r="J13" s="150"/>
      <c r="K13" s="151" t="s">
        <v>122</v>
      </c>
      <c r="L13" s="230"/>
      <c r="M13" s="4">
        <v>29100</v>
      </c>
      <c r="N13" s="65"/>
      <c r="O13" s="4">
        <v>18932887958</v>
      </c>
      <c r="P13" s="4"/>
      <c r="Q13" s="4">
        <v>18991582154</v>
      </c>
      <c r="R13" s="4"/>
      <c r="S13" s="4">
        <v>0</v>
      </c>
      <c r="T13" s="4">
        <v>0</v>
      </c>
      <c r="U13" s="4"/>
      <c r="V13" s="4">
        <v>0</v>
      </c>
      <c r="W13" s="4">
        <v>0</v>
      </c>
      <c r="X13" s="4"/>
      <c r="Y13" s="4">
        <v>29100</v>
      </c>
      <c r="Z13" s="4"/>
      <c r="AA13" s="342">
        <v>648000</v>
      </c>
      <c r="AB13" s="4"/>
      <c r="AC13" s="4">
        <v>18932887958</v>
      </c>
      <c r="AD13" s="4"/>
      <c r="AE13" s="4">
        <v>18853382205</v>
      </c>
      <c r="AG13" s="8">
        <f>AE13/درآمدها!$J$6</f>
        <v>0.1088490545816251</v>
      </c>
      <c r="AI13" s="4"/>
    </row>
    <row r="14" spans="1:35" s="148" customFormat="1" ht="55.5" customHeight="1" thickBot="1">
      <c r="A14" s="149" t="s">
        <v>128</v>
      </c>
      <c r="B14" s="228"/>
      <c r="C14" s="150" t="s">
        <v>119</v>
      </c>
      <c r="D14" s="60"/>
      <c r="E14" s="150" t="s">
        <v>119</v>
      </c>
      <c r="F14" s="60"/>
      <c r="G14" s="150" t="s">
        <v>131</v>
      </c>
      <c r="H14" s="60"/>
      <c r="I14" s="150" t="s">
        <v>134</v>
      </c>
      <c r="J14" s="150"/>
      <c r="K14" s="151" t="s">
        <v>122</v>
      </c>
      <c r="L14" s="230"/>
      <c r="M14" s="4">
        <v>27300</v>
      </c>
      <c r="N14" s="65"/>
      <c r="O14" s="4">
        <v>14976399978</v>
      </c>
      <c r="P14" s="4"/>
      <c r="Q14" s="4">
        <v>14603125706</v>
      </c>
      <c r="R14" s="4"/>
      <c r="S14" s="4">
        <v>0</v>
      </c>
      <c r="T14" s="4">
        <v>0</v>
      </c>
      <c r="U14" s="4"/>
      <c r="V14" s="4">
        <v>0</v>
      </c>
      <c r="W14" s="4">
        <v>0</v>
      </c>
      <c r="X14" s="4"/>
      <c r="Y14" s="4">
        <v>27300</v>
      </c>
      <c r="Z14" s="4"/>
      <c r="AA14" s="342">
        <v>530410</v>
      </c>
      <c r="AB14" s="4"/>
      <c r="AC14" s="4">
        <v>14976399978</v>
      </c>
      <c r="AD14" s="4"/>
      <c r="AE14" s="4">
        <v>14477568468</v>
      </c>
      <c r="AG14" s="8">
        <f>AE14/درآمدها!$J$6</f>
        <v>8.358551390129984E-2</v>
      </c>
      <c r="AI14" s="4"/>
    </row>
    <row r="15" spans="1:35" s="153" customFormat="1" ht="32.25" thickBot="1">
      <c r="A15" s="61" t="s">
        <v>2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4"/>
      <c r="N15" s="143"/>
      <c r="O15" s="171">
        <f>SUM(O10:O14)</f>
        <v>51204852157</v>
      </c>
      <c r="P15" s="143"/>
      <c r="Q15" s="171">
        <f>SUM(Q10:Q14)</f>
        <v>51012596899</v>
      </c>
      <c r="R15" s="143"/>
      <c r="S15" s="217"/>
      <c r="T15" s="171">
        <f>SUM(T10:T14)</f>
        <v>0</v>
      </c>
      <c r="U15" s="143"/>
      <c r="V15" s="217"/>
      <c r="W15" s="171">
        <f>SUM(W10:W14)</f>
        <v>0</v>
      </c>
      <c r="X15" s="143"/>
      <c r="Y15" s="217"/>
      <c r="Z15" s="143"/>
      <c r="AA15" s="143"/>
      <c r="AB15" s="143"/>
      <c r="AC15" s="171">
        <f>SUM(AC10:AC14)</f>
        <v>51204852157</v>
      </c>
      <c r="AD15" s="143"/>
      <c r="AE15" s="171">
        <f>SUM(AE10:AE14)</f>
        <v>50717845932</v>
      </c>
      <c r="AF15" s="143"/>
      <c r="AG15" s="152">
        <f>SUM(AG10:AG14)</f>
        <v>0.29281693438807155</v>
      </c>
    </row>
    <row r="16" spans="1:35" s="154" customFormat="1" ht="32.25" thickTop="1">
      <c r="M16" s="143"/>
      <c r="N16" s="143"/>
      <c r="P16" s="143"/>
      <c r="R16" s="143"/>
      <c r="S16" s="143"/>
      <c r="U16" s="143"/>
      <c r="V16" s="143"/>
      <c r="X16" s="143"/>
      <c r="Y16" s="143"/>
      <c r="Z16" s="143"/>
      <c r="AA16" s="143"/>
      <c r="AB16" s="143"/>
      <c r="AD16" s="143"/>
      <c r="AF16" s="143"/>
    </row>
    <row r="17" spans="23:33" s="4" customFormat="1" ht="30.75">
      <c r="W17" s="67"/>
      <c r="AC17" s="67"/>
      <c r="AE17" s="67"/>
    </row>
    <row r="18" spans="23:33" s="4" customFormat="1" ht="30.75">
      <c r="W18" s="67"/>
      <c r="AG18" s="8"/>
    </row>
    <row r="19" spans="23:33" s="4" customFormat="1" ht="30.75">
      <c r="AG19" s="8"/>
    </row>
    <row r="20" spans="23:33" s="4" customFormat="1" ht="30.75">
      <c r="AG20" s="8"/>
    </row>
    <row r="21" spans="23:33" s="4" customFormat="1" ht="30.75">
      <c r="AG21" s="10"/>
    </row>
    <row r="22" spans="23:33" s="4" customFormat="1" ht="30.75"/>
    <row r="23" spans="23:33" s="4" customFormat="1" ht="30.75"/>
    <row r="24" spans="23:33" s="4" customFormat="1" ht="30.75"/>
    <row r="25" spans="23:33" s="4" customFormat="1" ht="30.75"/>
    <row r="26" spans="23:33" s="4" customFormat="1" ht="30.75"/>
    <row r="27" spans="23:33" s="4" customFormat="1" ht="30.75"/>
  </sheetData>
  <mergeCells count="28">
    <mergeCell ref="AD8:AD9"/>
    <mergeCell ref="AE8:AE9"/>
    <mergeCell ref="AG8:AG9"/>
    <mergeCell ref="S8:T8"/>
    <mergeCell ref="V8:W8"/>
    <mergeCell ref="Y8:Y9"/>
    <mergeCell ref="Z8:Z9"/>
    <mergeCell ref="AA8:AA9"/>
    <mergeCell ref="AC8:AC9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1:AG1"/>
    <mergeCell ref="A2:AG2"/>
    <mergeCell ref="A3:AG3"/>
    <mergeCell ref="A5:AG5"/>
    <mergeCell ref="A7:L7"/>
    <mergeCell ref="M7:Q7"/>
    <mergeCell ref="S7:W7"/>
    <mergeCell ref="Y7:AG7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C881-7777-464D-8E69-C2FA3CF54237}">
  <sheetPr>
    <pageSetUpPr fitToPage="1"/>
  </sheetPr>
  <dimension ref="A1:O15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22.5"/>
  <cols>
    <col min="1" max="1" width="37.28515625" customWidth="1"/>
    <col min="2" max="2" width="1" customWidth="1"/>
    <col min="3" max="3" width="17.85546875" customWidth="1"/>
    <col min="4" max="4" width="1.140625" customWidth="1"/>
    <col min="5" max="5" width="13.5703125" customWidth="1"/>
    <col min="6" max="6" width="1.140625" customWidth="1"/>
    <col min="7" max="7" width="13.5703125" bestFit="1" customWidth="1"/>
    <col min="8" max="8" width="1.140625" customWidth="1"/>
    <col min="9" max="9" width="10.5703125" bestFit="1" customWidth="1"/>
    <col min="10" max="10" width="0.85546875" customWidth="1"/>
    <col min="11" max="11" width="28.140625" customWidth="1"/>
    <col min="12" max="12" width="1.85546875" customWidth="1"/>
    <col min="13" max="13" width="86.7109375" customWidth="1"/>
    <col min="14" max="14" width="20.42578125" style="196" bestFit="1" customWidth="1"/>
    <col min="15" max="15" width="22.28515625" style="209" customWidth="1"/>
  </cols>
  <sheetData>
    <row r="1" spans="1:15" s="198" customFormat="1" ht="26.25">
      <c r="A1" s="278" t="s">
        <v>94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196"/>
      <c r="O1" s="197"/>
    </row>
    <row r="2" spans="1:15" s="198" customFormat="1" ht="23.25" customHeight="1">
      <c r="A2" s="278" t="s">
        <v>51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196"/>
      <c r="O2" s="197"/>
    </row>
    <row r="3" spans="1:15" s="198" customFormat="1" ht="24" customHeight="1">
      <c r="A3" s="278" t="str">
        <f>' سهام'!A3:W3</f>
        <v>برای ماه منتهی به 1402/12/29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196"/>
      <c r="O3" s="197"/>
    </row>
    <row r="5" spans="1:15" s="199" customFormat="1">
      <c r="A5" s="279" t="s">
        <v>148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196"/>
      <c r="O5" s="197"/>
    </row>
    <row r="6" spans="1:15" s="199" customFormat="1">
      <c r="A6" s="279" t="s">
        <v>149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196"/>
      <c r="O6" s="197"/>
    </row>
    <row r="7" spans="1:15" s="199" customFormat="1" ht="27" customHeight="1">
      <c r="N7" s="196"/>
      <c r="O7" s="197"/>
    </row>
    <row r="8" spans="1:15" s="199" customFormat="1">
      <c r="C8" s="276" t="s">
        <v>159</v>
      </c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196"/>
      <c r="O8" s="197"/>
    </row>
    <row r="9" spans="1:15" s="199" customFormat="1" ht="42">
      <c r="A9" s="200" t="s">
        <v>150</v>
      </c>
      <c r="C9" s="200" t="s">
        <v>151</v>
      </c>
      <c r="E9" s="201" t="s">
        <v>152</v>
      </c>
      <c r="G9" s="200" t="s">
        <v>153</v>
      </c>
      <c r="I9" s="200" t="s">
        <v>154</v>
      </c>
      <c r="K9" s="201" t="s">
        <v>155</v>
      </c>
      <c r="M9" s="200" t="s">
        <v>156</v>
      </c>
      <c r="N9" s="196"/>
      <c r="O9" s="202"/>
    </row>
    <row r="10" spans="1:15" ht="36.75" customHeight="1">
      <c r="A10" s="16">
        <v>0</v>
      </c>
      <c r="B10" s="203"/>
      <c r="C10" s="204">
        <f>IFERROR(VLOOKUP(A10,' سهام'!$A$11:$U$32,15,0),0)</f>
        <v>0</v>
      </c>
      <c r="D10" s="205"/>
      <c r="E10" s="223">
        <v>0</v>
      </c>
      <c r="F10" s="206"/>
      <c r="G10" s="206">
        <v>0</v>
      </c>
      <c r="H10" s="203"/>
      <c r="I10" s="222">
        <v>0</v>
      </c>
      <c r="J10" s="203"/>
      <c r="K10" s="206">
        <f>IFERROR(VLOOKUP(A10,' سهام'!$A$11:$U$32,21,0),0)</f>
        <v>0</v>
      </c>
      <c r="L10" s="207"/>
      <c r="M10" s="213">
        <v>0</v>
      </c>
      <c r="N10" s="208"/>
    </row>
    <row r="11" spans="1:15" ht="23.25" thickBot="1">
      <c r="A11" s="210"/>
      <c r="B11" s="203"/>
      <c r="C11" s="211"/>
      <c r="D11" s="210"/>
      <c r="E11" s="212"/>
      <c r="F11" s="210"/>
      <c r="G11" s="212"/>
      <c r="H11" s="203"/>
      <c r="I11" s="203"/>
      <c r="J11" s="203"/>
      <c r="K11" s="212">
        <f>SUM(K10)</f>
        <v>0</v>
      </c>
      <c r="L11" s="203"/>
      <c r="M11" s="203"/>
    </row>
    <row r="12" spans="1:15" ht="23.25" thickTop="1"/>
    <row r="13" spans="1:15">
      <c r="C13" s="211"/>
      <c r="K13" s="211"/>
    </row>
    <row r="14" spans="1:15">
      <c r="C14" s="195"/>
    </row>
    <row r="15" spans="1:15">
      <c r="C15" s="211"/>
    </row>
  </sheetData>
  <autoFilter ref="A9:M9" xr:uid="{00000000-0009-0000-0000-000004000000}">
    <sortState xmlns:xlrd2="http://schemas.microsoft.com/office/spreadsheetml/2017/richdata2" ref="A10:P16">
      <sortCondition descending="1" ref="K9"/>
    </sortState>
  </autoFilter>
  <mergeCells count="6">
    <mergeCell ref="C8:M8"/>
    <mergeCell ref="A1:M1"/>
    <mergeCell ref="A2:M2"/>
    <mergeCell ref="A3:M3"/>
    <mergeCell ref="A5:M5"/>
    <mergeCell ref="A6:M6"/>
  </mergeCells>
  <printOptions horizontalCentered="1"/>
  <pageMargins left="0" right="0.28999999999999998" top="0.52" bottom="0" header="0.75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25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5"/>
  <cols>
    <col min="1" max="1" width="39.140625" style="69" bestFit="1" customWidth="1"/>
    <col min="2" max="2" width="0.7109375" style="69" customWidth="1"/>
    <col min="3" max="3" width="24.28515625" style="69" customWidth="1"/>
    <col min="4" max="4" width="0.7109375" style="69" customWidth="1"/>
    <col min="5" max="5" width="16.85546875" style="69" customWidth="1"/>
    <col min="6" max="6" width="0.7109375" style="69" customWidth="1"/>
    <col min="7" max="7" width="15.85546875" style="69" bestFit="1" customWidth="1"/>
    <col min="8" max="8" width="0.7109375" style="69" customWidth="1"/>
    <col min="9" max="9" width="9.28515625" style="69" customWidth="1"/>
    <col min="10" max="10" width="0.5703125" style="69" customWidth="1"/>
    <col min="11" max="11" width="21.28515625" style="15" customWidth="1"/>
    <col min="12" max="12" width="0.7109375" style="69" customWidth="1"/>
    <col min="13" max="13" width="22.28515625" style="69" customWidth="1"/>
    <col min="14" max="14" width="0.42578125" style="69" customWidth="1"/>
    <col min="15" max="15" width="22.140625" style="69" customWidth="1"/>
    <col min="16" max="16" width="0.42578125" style="69" customWidth="1"/>
    <col min="17" max="17" width="18.42578125" style="69" customWidth="1"/>
    <col min="18" max="18" width="0.5703125" style="69" customWidth="1"/>
    <col min="19" max="19" width="12.140625" style="69" customWidth="1"/>
    <col min="20" max="16384" width="9.140625" style="69"/>
  </cols>
  <sheetData>
    <row r="1" spans="1:27" ht="18.75">
      <c r="A1" s="285" t="s">
        <v>94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27" ht="18.75">
      <c r="A2" s="285" t="s">
        <v>51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27" ht="18.75">
      <c r="A3" s="285" t="str">
        <f>' سهام'!A3:W3</f>
        <v>برای ماه منتهی به 1402/12/29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</row>
    <row r="4" spans="1:27" ht="18.75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27" ht="18.75">
      <c r="A5" s="288" t="s">
        <v>52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</row>
    <row r="6" spans="1:27" ht="18.75" thickBot="1">
      <c r="A6" s="70"/>
      <c r="B6" s="70"/>
      <c r="C6" s="71"/>
      <c r="D6" s="71"/>
      <c r="E6" s="71"/>
      <c r="F6" s="71"/>
      <c r="G6" s="71"/>
      <c r="H6" s="71"/>
      <c r="I6" s="71"/>
      <c r="J6" s="71"/>
      <c r="K6" s="11"/>
      <c r="L6" s="71"/>
      <c r="M6" s="71"/>
      <c r="N6" s="71"/>
      <c r="O6" s="71"/>
      <c r="P6" s="71"/>
      <c r="Q6" s="71"/>
      <c r="R6" s="71"/>
      <c r="S6" s="71"/>
    </row>
    <row r="7" spans="1:27" ht="18.75" customHeight="1" thickBot="1">
      <c r="A7" s="72"/>
      <c r="B7" s="70"/>
      <c r="C7" s="283" t="s">
        <v>11</v>
      </c>
      <c r="D7" s="283"/>
      <c r="E7" s="283"/>
      <c r="F7" s="283"/>
      <c r="G7" s="283"/>
      <c r="H7" s="283"/>
      <c r="I7" s="283"/>
      <c r="J7" s="73"/>
      <c r="K7" s="233" t="str">
        <f>اوراق!M7</f>
        <v>1402/11/30</v>
      </c>
      <c r="L7" s="239"/>
      <c r="M7" s="284" t="s">
        <v>7</v>
      </c>
      <c r="N7" s="284"/>
      <c r="O7" s="284"/>
      <c r="P7" s="70"/>
      <c r="Q7" s="283" t="str">
        <f>اوراق!Y7</f>
        <v>1402/12/29</v>
      </c>
      <c r="R7" s="289"/>
      <c r="S7" s="289"/>
    </row>
    <row r="8" spans="1:27" ht="24" customHeight="1">
      <c r="A8" s="292" t="s">
        <v>8</v>
      </c>
      <c r="B8" s="74"/>
      <c r="C8" s="296" t="s">
        <v>9</v>
      </c>
      <c r="D8" s="74"/>
      <c r="E8" s="296" t="s">
        <v>10</v>
      </c>
      <c r="F8" s="74"/>
      <c r="G8" s="296" t="s">
        <v>34</v>
      </c>
      <c r="H8" s="74"/>
      <c r="I8" s="296" t="s">
        <v>89</v>
      </c>
      <c r="J8" s="292"/>
      <c r="K8" s="294" t="s">
        <v>6</v>
      </c>
      <c r="L8" s="74"/>
      <c r="M8" s="281" t="s">
        <v>36</v>
      </c>
      <c r="N8" s="75"/>
      <c r="O8" s="281" t="s">
        <v>37</v>
      </c>
      <c r="P8" s="70"/>
      <c r="Q8" s="290" t="s">
        <v>6</v>
      </c>
      <c r="R8" s="292"/>
      <c r="S8" s="286" t="s">
        <v>22</v>
      </c>
    </row>
    <row r="9" spans="1:27" ht="18.75" thickBot="1">
      <c r="A9" s="293"/>
      <c r="B9" s="74"/>
      <c r="C9" s="287"/>
      <c r="D9" s="76"/>
      <c r="E9" s="287"/>
      <c r="F9" s="76"/>
      <c r="G9" s="287"/>
      <c r="H9" s="76"/>
      <c r="I9" s="287"/>
      <c r="J9" s="292"/>
      <c r="K9" s="295"/>
      <c r="L9" s="74"/>
      <c r="M9" s="282"/>
      <c r="N9" s="70"/>
      <c r="O9" s="282"/>
      <c r="P9" s="70"/>
      <c r="Q9" s="291"/>
      <c r="R9" s="292"/>
      <c r="S9" s="287"/>
    </row>
    <row r="10" spans="1:27" s="70" customFormat="1" ht="18">
      <c r="A10" s="77" t="s">
        <v>104</v>
      </c>
      <c r="C10" s="78" t="s">
        <v>105</v>
      </c>
      <c r="E10" s="79" t="s">
        <v>92</v>
      </c>
      <c r="G10" s="78" t="s">
        <v>93</v>
      </c>
      <c r="I10" s="178">
        <v>5</v>
      </c>
      <c r="J10" s="12"/>
      <c r="K10" s="12">
        <v>1865236</v>
      </c>
      <c r="L10" s="12"/>
      <c r="M10" s="12">
        <v>13615507634</v>
      </c>
      <c r="N10" s="12"/>
      <c r="O10" s="12">
        <v>12114856627</v>
      </c>
      <c r="P10" s="12"/>
      <c r="Q10" s="12">
        <v>1502516243</v>
      </c>
      <c r="S10" s="13">
        <f>Q10/درآمدها!$J$6</f>
        <v>8.6747020118603316E-3</v>
      </c>
      <c r="T10" s="67"/>
      <c r="U10" s="80"/>
      <c r="V10" s="67"/>
      <c r="W10" s="80"/>
      <c r="X10" s="67"/>
      <c r="Y10" s="80"/>
      <c r="Z10" s="67"/>
      <c r="AA10" s="80"/>
    </row>
    <row r="11" spans="1:27" s="70" customFormat="1" ht="18">
      <c r="A11" s="77" t="s">
        <v>103</v>
      </c>
      <c r="C11" s="78" t="s">
        <v>117</v>
      </c>
      <c r="E11" s="79" t="s">
        <v>92</v>
      </c>
      <c r="G11" s="78" t="s">
        <v>93</v>
      </c>
      <c r="I11" s="178">
        <v>5</v>
      </c>
      <c r="J11" s="12"/>
      <c r="K11" s="12">
        <v>344922615</v>
      </c>
      <c r="L11" s="12"/>
      <c r="M11" s="12">
        <v>18229591140</v>
      </c>
      <c r="N11" s="12"/>
      <c r="O11" s="12">
        <v>18535156230</v>
      </c>
      <c r="P11" s="12"/>
      <c r="Q11" s="12">
        <v>39357525</v>
      </c>
      <c r="S11" s="13">
        <f>Q11/درآمدها!$J$6</f>
        <v>2.2722869246169161E-4</v>
      </c>
      <c r="T11" s="67"/>
      <c r="U11" s="80"/>
      <c r="V11" s="67"/>
      <c r="W11" s="80"/>
      <c r="X11" s="67"/>
      <c r="Y11" s="80"/>
      <c r="Z11" s="67"/>
      <c r="AA11" s="80"/>
    </row>
    <row r="12" spans="1:27" s="70" customFormat="1" ht="18.75" thickBot="1">
      <c r="A12" s="77" t="s">
        <v>163</v>
      </c>
      <c r="C12" s="78" t="s">
        <v>164</v>
      </c>
      <c r="E12" s="79" t="s">
        <v>165</v>
      </c>
      <c r="G12" s="78" t="s">
        <v>93</v>
      </c>
      <c r="I12" s="341">
        <v>22.5</v>
      </c>
      <c r="J12" s="12"/>
      <c r="K12" s="12">
        <v>0</v>
      </c>
      <c r="L12" s="12"/>
      <c r="M12" s="12">
        <v>5000000000</v>
      </c>
      <c r="N12" s="12"/>
      <c r="O12" s="12">
        <v>0</v>
      </c>
      <c r="P12" s="12"/>
      <c r="Q12" s="12">
        <v>5000000000</v>
      </c>
      <c r="S12" s="13">
        <f>Q12/درآمدها!$J$6</f>
        <v>2.8867248697890889E-2</v>
      </c>
      <c r="T12" s="67"/>
      <c r="U12" s="80"/>
      <c r="V12" s="67"/>
      <c r="W12" s="80"/>
      <c r="X12" s="67"/>
      <c r="Y12" s="80"/>
      <c r="AA12" s="80"/>
    </row>
    <row r="13" spans="1:27" s="70" customFormat="1" ht="24" customHeight="1" thickBot="1">
      <c r="A13" s="74" t="s">
        <v>2</v>
      </c>
      <c r="B13" s="74"/>
      <c r="C13" s="74"/>
      <c r="D13" s="74"/>
      <c r="E13" s="74"/>
      <c r="F13" s="74"/>
      <c r="G13" s="74"/>
      <c r="H13" s="74"/>
      <c r="I13" s="74"/>
      <c r="J13" s="232"/>
      <c r="K13" s="218">
        <f>SUM(K10:K12)</f>
        <v>346787851</v>
      </c>
      <c r="M13" s="219">
        <f>SUM(M10:M12)</f>
        <v>36845098774</v>
      </c>
      <c r="O13" s="219">
        <f>SUM(O10:O12)</f>
        <v>30650012857</v>
      </c>
      <c r="Q13" s="219">
        <f>SUM(Q10:Q12)</f>
        <v>6541873768</v>
      </c>
      <c r="S13" s="14">
        <f>SUM(S10:S12)</f>
        <v>3.7769179402212916E-2</v>
      </c>
    </row>
    <row r="14" spans="1:27" ht="18.75" thickTop="1">
      <c r="L14" s="70"/>
      <c r="N14" s="70"/>
      <c r="P14" s="70"/>
      <c r="R14" s="70"/>
    </row>
    <row r="15" spans="1:27" ht="18">
      <c r="L15" s="70"/>
      <c r="N15" s="70"/>
      <c r="P15" s="70"/>
      <c r="R15" s="70"/>
    </row>
    <row r="16" spans="1:27" ht="21.75">
      <c r="K16" s="67"/>
      <c r="L16" s="16"/>
      <c r="M16" s="67"/>
      <c r="N16" s="81"/>
      <c r="O16" s="67"/>
      <c r="P16" s="16"/>
      <c r="Q16" s="67"/>
    </row>
    <row r="17" spans="11:20" ht="21.75">
      <c r="K17" s="16"/>
      <c r="L17" s="16"/>
      <c r="M17" s="16"/>
      <c r="N17" s="16"/>
      <c r="O17" s="16"/>
      <c r="P17" s="16"/>
      <c r="Q17" s="16"/>
    </row>
    <row r="18" spans="11:20" ht="21.75">
      <c r="K18" s="16"/>
      <c r="M18" s="16"/>
      <c r="O18" s="16"/>
      <c r="Q18" s="16"/>
    </row>
    <row r="19" spans="11:20" ht="21.75">
      <c r="K19" s="16"/>
      <c r="L19" s="16"/>
      <c r="M19" s="16"/>
      <c r="N19" s="16"/>
      <c r="O19" s="16"/>
      <c r="P19" s="16"/>
      <c r="Q19" s="16"/>
    </row>
    <row r="20" spans="11:20" ht="21.75">
      <c r="K20" s="16"/>
      <c r="M20" s="16"/>
      <c r="O20" s="16"/>
      <c r="Q20" s="16"/>
    </row>
    <row r="21" spans="11:20">
      <c r="Q21" s="82"/>
      <c r="T21" s="155"/>
    </row>
    <row r="22" spans="11:20">
      <c r="T22" s="155"/>
    </row>
    <row r="25" spans="11:20">
      <c r="T25" s="155"/>
    </row>
  </sheetData>
  <autoFilter ref="A9:S9" xr:uid="{00000000-0009-0000-0000-000003000000}">
    <sortState xmlns:xlrd2="http://schemas.microsoft.com/office/spreadsheetml/2017/richdata2" ref="A11:S12">
      <sortCondition descending="1" ref="Q9"/>
    </sortState>
  </autoFilter>
  <mergeCells count="19">
    <mergeCell ref="G8:G9"/>
    <mergeCell ref="I8:I9"/>
    <mergeCell ref="M8:M9"/>
    <mergeCell ref="O8:O9"/>
    <mergeCell ref="C7:I7"/>
    <mergeCell ref="M7:O7"/>
    <mergeCell ref="A1:S1"/>
    <mergeCell ref="A2:S2"/>
    <mergeCell ref="A3:S3"/>
    <mergeCell ref="S8:S9"/>
    <mergeCell ref="A5:S5"/>
    <mergeCell ref="Q7:S7"/>
    <mergeCell ref="Q8:Q9"/>
    <mergeCell ref="R8:R9"/>
    <mergeCell ref="A8:A9"/>
    <mergeCell ref="J8:J9"/>
    <mergeCell ref="K8:K9"/>
    <mergeCell ref="C8:C9"/>
    <mergeCell ref="E8:E9"/>
  </mergeCells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N39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8"/>
  <cols>
    <col min="1" max="1" width="69.85546875" style="184" customWidth="1"/>
    <col min="2" max="2" width="1" style="184" customWidth="1"/>
    <col min="3" max="3" width="9.140625" style="17"/>
    <col min="4" max="4" width="1.140625" style="17" customWidth="1"/>
    <col min="5" max="5" width="25.42578125" style="17" bestFit="1" customWidth="1"/>
    <col min="6" max="6" width="1" style="17" customWidth="1"/>
    <col min="7" max="7" width="19.7109375" style="17" customWidth="1"/>
    <col min="8" max="8" width="0.42578125" style="17" customWidth="1"/>
    <col min="9" max="9" width="24.5703125" style="17" customWidth="1"/>
    <col min="10" max="10" width="23.42578125" style="185" bestFit="1" customWidth="1"/>
    <col min="11" max="11" width="17.7109375" style="185" bestFit="1" customWidth="1"/>
    <col min="12" max="12" width="14.28515625" style="17" bestFit="1" customWidth="1"/>
    <col min="13" max="13" width="12.5703125" style="17" bestFit="1" customWidth="1"/>
    <col min="14" max="14" width="9.5703125" style="17" bestFit="1" customWidth="1"/>
    <col min="15" max="16384" width="9.140625" style="17"/>
  </cols>
  <sheetData>
    <row r="1" spans="1:14" ht="21">
      <c r="A1" s="298" t="s">
        <v>94</v>
      </c>
      <c r="B1" s="298"/>
      <c r="C1" s="298"/>
      <c r="D1" s="298"/>
      <c r="E1" s="298"/>
      <c r="F1" s="298"/>
      <c r="G1" s="298"/>
      <c r="H1" s="298"/>
      <c r="I1" s="298"/>
      <c r="J1" s="172"/>
      <c r="K1" s="172"/>
    </row>
    <row r="2" spans="1:14" ht="21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172"/>
      <c r="K2" s="172"/>
    </row>
    <row r="3" spans="1:14" ht="21">
      <c r="A3" s="298" t="str">
        <f>سپرده!A3</f>
        <v>برای ماه منتهی به 1402/12/29</v>
      </c>
      <c r="B3" s="298"/>
      <c r="C3" s="298"/>
      <c r="D3" s="298"/>
      <c r="E3" s="298"/>
      <c r="F3" s="298"/>
      <c r="G3" s="298"/>
      <c r="H3" s="298"/>
      <c r="I3" s="298"/>
      <c r="J3" s="172"/>
      <c r="K3" s="172"/>
    </row>
    <row r="4" spans="1:14" ht="21.75" thickBot="1">
      <c r="A4" s="234"/>
      <c r="B4" s="234"/>
      <c r="C4" s="234"/>
      <c r="D4" s="234"/>
      <c r="E4" s="234"/>
      <c r="F4" s="234"/>
      <c r="G4" s="234"/>
      <c r="H4" s="234"/>
      <c r="I4" s="234"/>
      <c r="J4" s="172"/>
      <c r="K4" s="172"/>
    </row>
    <row r="5" spans="1:14" ht="21.75" thickBot="1">
      <c r="A5" s="173" t="s">
        <v>27</v>
      </c>
      <c r="B5" s="174"/>
      <c r="C5" s="174"/>
      <c r="D5" s="174"/>
      <c r="E5" s="174"/>
      <c r="F5" s="174"/>
      <c r="G5" s="174"/>
      <c r="H5" s="174"/>
      <c r="I5" s="174"/>
      <c r="J5" s="175">
        <v>15939469196</v>
      </c>
      <c r="K5" s="176" t="s">
        <v>91</v>
      </c>
    </row>
    <row r="6" spans="1:14" ht="21.75" customHeight="1" thickBot="1">
      <c r="A6" s="173"/>
      <c r="B6" s="173"/>
      <c r="C6" s="173"/>
      <c r="D6" s="173"/>
      <c r="E6" s="297" t="str">
        <f>اوراق!Y7</f>
        <v>1402/12/29</v>
      </c>
      <c r="F6" s="297"/>
      <c r="G6" s="297"/>
      <c r="H6" s="297"/>
      <c r="I6" s="297"/>
      <c r="J6" s="175">
        <v>173206669341</v>
      </c>
      <c r="K6" s="176" t="s">
        <v>90</v>
      </c>
    </row>
    <row r="7" spans="1:14" ht="21.75" customHeight="1" thickBot="1">
      <c r="A7" s="177" t="s">
        <v>38</v>
      </c>
      <c r="B7" s="178"/>
      <c r="C7" s="85" t="s">
        <v>39</v>
      </c>
      <c r="D7" s="179"/>
      <c r="E7" s="85" t="s">
        <v>6</v>
      </c>
      <c r="F7" s="179"/>
      <c r="G7" s="85" t="s">
        <v>19</v>
      </c>
      <c r="H7" s="179"/>
      <c r="I7" s="85" t="s">
        <v>88</v>
      </c>
      <c r="J7" s="180"/>
      <c r="K7" s="180"/>
    </row>
    <row r="8" spans="1:14" ht="21" customHeight="1">
      <c r="A8" s="86" t="s">
        <v>106</v>
      </c>
      <c r="B8" s="86"/>
      <c r="C8" s="181" t="s">
        <v>53</v>
      </c>
      <c r="D8" s="174"/>
      <c r="E8" s="186">
        <f>'درآمد سرمایه گذاری در سهام '!S39</f>
        <v>15143521816</v>
      </c>
      <c r="F8" s="187"/>
      <c r="G8" s="186">
        <f>E8/$E$12*100</f>
        <v>99.12081975527849</v>
      </c>
      <c r="H8" s="186"/>
      <c r="I8" s="188">
        <f>E8/$J$6*100</f>
        <v>8.7430362084881654</v>
      </c>
      <c r="J8" s="180"/>
      <c r="K8" s="180"/>
    </row>
    <row r="9" spans="1:14" ht="18.75" customHeight="1">
      <c r="A9" s="86" t="s">
        <v>48</v>
      </c>
      <c r="B9" s="86"/>
      <c r="C9" s="181" t="s">
        <v>54</v>
      </c>
      <c r="D9" s="174"/>
      <c r="E9" s="189">
        <f>'درآمد سرمایه گذاری در اوراق بها'!O16</f>
        <v>62794794</v>
      </c>
      <c r="F9" s="187"/>
      <c r="G9" s="186">
        <f t="shared" ref="G9:G11" si="0">E9/$E$12*100</f>
        <v>0.41101875331718041</v>
      </c>
      <c r="H9" s="186"/>
      <c r="I9" s="188">
        <f t="shared" ref="I9:I11" si="1">E9/$J$6*100</f>
        <v>3.6254258706616534E-2</v>
      </c>
      <c r="J9" s="180"/>
      <c r="K9" s="180"/>
      <c r="L9" s="180"/>
      <c r="N9" s="182"/>
    </row>
    <row r="10" spans="1:14" ht="18.75" customHeight="1">
      <c r="A10" s="86" t="s">
        <v>49</v>
      </c>
      <c r="B10" s="86"/>
      <c r="C10" s="181" t="s">
        <v>55</v>
      </c>
      <c r="D10" s="174"/>
      <c r="E10" s="186">
        <f>'درآمد سپرده بانکی'!I12</f>
        <v>36706368</v>
      </c>
      <c r="F10" s="187"/>
      <c r="G10" s="186">
        <f t="shared" si="0"/>
        <v>0.24025885990105553</v>
      </c>
      <c r="H10" s="186"/>
      <c r="I10" s="188">
        <f t="shared" si="1"/>
        <v>2.1192237077046077E-2</v>
      </c>
      <c r="J10" s="180"/>
      <c r="K10" s="180"/>
      <c r="N10" s="182"/>
    </row>
    <row r="11" spans="1:14" ht="19.5" customHeight="1" thickBot="1">
      <c r="A11" s="86" t="s">
        <v>32</v>
      </c>
      <c r="B11" s="86"/>
      <c r="C11" s="181" t="s">
        <v>56</v>
      </c>
      <c r="D11" s="174"/>
      <c r="E11" s="190">
        <f>'سایر درآمدها'!E12</f>
        <v>34818603</v>
      </c>
      <c r="F11" s="187"/>
      <c r="G11" s="186">
        <f t="shared" si="0"/>
        <v>0.22790263150327139</v>
      </c>
      <c r="H11" s="186"/>
      <c r="I11" s="188">
        <f t="shared" si="1"/>
        <v>2.0102345442282597E-2</v>
      </c>
      <c r="J11" s="180"/>
      <c r="K11" s="180"/>
      <c r="N11" s="182"/>
    </row>
    <row r="12" spans="1:14" ht="19.5" customHeight="1" thickBot="1">
      <c r="A12" s="86" t="s">
        <v>2</v>
      </c>
      <c r="B12" s="183"/>
      <c r="C12" s="22"/>
      <c r="D12" s="22"/>
      <c r="E12" s="191">
        <f>SUM(E8:E11)</f>
        <v>15277841581</v>
      </c>
      <c r="F12" s="192"/>
      <c r="G12" s="193">
        <f>SUM(G8:G11)</f>
        <v>100</v>
      </c>
      <c r="H12" s="186"/>
      <c r="I12" s="194">
        <f>SUM(I8:I11)</f>
        <v>8.8205850497141096</v>
      </c>
      <c r="J12" s="180"/>
      <c r="K12" s="180"/>
    </row>
    <row r="13" spans="1:14" ht="18.75" customHeight="1" thickTop="1">
      <c r="J13" s="180"/>
      <c r="K13" s="180"/>
    </row>
    <row r="14" spans="1:14" ht="18" customHeight="1">
      <c r="E14" s="18"/>
      <c r="F14" s="18"/>
      <c r="G14" s="18"/>
      <c r="J14" s="180"/>
      <c r="K14" s="180"/>
    </row>
    <row r="15" spans="1:14" ht="18" customHeight="1">
      <c r="E15" s="18"/>
      <c r="F15" s="18"/>
      <c r="G15" s="18"/>
      <c r="J15" s="180"/>
      <c r="K15" s="180"/>
    </row>
    <row r="16" spans="1:14" ht="18" customHeight="1">
      <c r="E16" s="18"/>
      <c r="F16" s="18"/>
      <c r="G16" s="18"/>
      <c r="J16" s="180"/>
      <c r="K16" s="180"/>
    </row>
    <row r="17" spans="1:11" ht="18" customHeight="1">
      <c r="E17" s="18"/>
      <c r="F17" s="18"/>
      <c r="G17" s="18"/>
      <c r="J17" s="180"/>
      <c r="K17" s="180"/>
    </row>
    <row r="18" spans="1:11" ht="17.45" customHeight="1">
      <c r="E18" s="18"/>
      <c r="F18" s="18"/>
      <c r="G18" s="18"/>
      <c r="J18" s="180"/>
      <c r="K18" s="180"/>
    </row>
    <row r="19" spans="1:11" ht="17.45" customHeight="1">
      <c r="E19" s="18"/>
      <c r="F19" s="18"/>
      <c r="G19" s="18"/>
    </row>
    <row r="20" spans="1:11" ht="17.45" customHeight="1"/>
    <row r="22" spans="1:11">
      <c r="A22" s="184" t="s">
        <v>60</v>
      </c>
    </row>
    <row r="28" spans="1:11" ht="18.75" customHeight="1"/>
    <row r="37" ht="18.75" customHeight="1"/>
    <row r="38" ht="17.45" customHeight="1"/>
    <row r="39" ht="17.45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AG22"/>
  <sheetViews>
    <sheetView rightToLeft="1" view="pageBreakPreview" zoomScale="70" zoomScaleNormal="100" zoomScaleSheetLayoutView="70" workbookViewId="0">
      <selection activeCell="A4" sqref="A4"/>
    </sheetView>
  </sheetViews>
  <sheetFormatPr defaultColWidth="9.140625" defaultRowHeight="21.75"/>
  <cols>
    <col min="1" max="1" width="50.85546875" style="70" customWidth="1"/>
    <col min="2" max="2" width="15.5703125" style="70" bestFit="1" customWidth="1"/>
    <col min="3" max="3" width="0.85546875" style="70" customWidth="1"/>
    <col min="4" max="4" width="14" style="70" bestFit="1" customWidth="1"/>
    <col min="5" max="5" width="1.28515625" style="70" customWidth="1"/>
    <col min="6" max="6" width="12.42578125" style="70" customWidth="1"/>
    <col min="7" max="7" width="1" style="70" customWidth="1"/>
    <col min="8" max="8" width="25" style="22" bestFit="1" customWidth="1"/>
    <col min="9" max="9" width="0.85546875" style="22" customWidth="1"/>
    <col min="10" max="10" width="25" style="22" bestFit="1" customWidth="1"/>
    <col min="11" max="11" width="0.7109375" style="22" customWidth="1"/>
    <col min="12" max="12" width="23.140625" style="22" bestFit="1" customWidth="1"/>
    <col min="13" max="13" width="0.7109375" style="22" customWidth="1"/>
    <col min="14" max="14" width="23.140625" style="22" bestFit="1" customWidth="1"/>
    <col min="15" max="15" width="0.5703125" style="22" customWidth="1"/>
    <col min="16" max="16" width="17" style="22" bestFit="1" customWidth="1"/>
    <col min="17" max="17" width="0.5703125" style="22" customWidth="1"/>
    <col min="18" max="18" width="23.140625" style="22" bestFit="1" customWidth="1"/>
    <col min="19" max="19" width="9.140625" style="70"/>
    <col min="20" max="20" width="14.28515625" style="244" bestFit="1" customWidth="1"/>
    <col min="21" max="21" width="15.85546875" style="244" bestFit="1" customWidth="1"/>
    <col min="22" max="22" width="11.28515625" style="244" bestFit="1" customWidth="1"/>
    <col min="23" max="23" width="14.42578125" style="244" bestFit="1" customWidth="1"/>
    <col min="24" max="24" width="2.42578125" style="244" customWidth="1"/>
    <col min="25" max="25" width="14.28515625" style="244" bestFit="1" customWidth="1"/>
    <col min="26" max="26" width="15.85546875" style="244" bestFit="1" customWidth="1"/>
    <col min="27" max="27" width="11.28515625" style="244" bestFit="1" customWidth="1"/>
    <col min="28" max="28" width="14.42578125" style="244" bestFit="1" customWidth="1"/>
    <col min="29" max="33" width="9.140625" style="244"/>
    <col min="34" max="16384" width="9.140625" style="70"/>
  </cols>
  <sheetData>
    <row r="1" spans="1:33" ht="24.75">
      <c r="A1" s="265" t="s">
        <v>94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33" ht="24.75">
      <c r="A2" s="265" t="s">
        <v>57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33" ht="24.75">
      <c r="A3" s="265" t="str">
        <f>' سهام'!A3:W3</f>
        <v>برای ماه منتهی به 1402/12/29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33" ht="24.7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</row>
    <row r="5" spans="1:33" ht="24.75">
      <c r="A5" s="266" t="s">
        <v>66</v>
      </c>
      <c r="B5" s="266"/>
      <c r="C5" s="266"/>
      <c r="D5" s="266"/>
      <c r="E5" s="266"/>
      <c r="F5" s="266"/>
      <c r="G5" s="266"/>
      <c r="H5" s="266"/>
      <c r="I5" s="19"/>
      <c r="J5" s="20"/>
      <c r="K5" s="20"/>
      <c r="L5" s="20"/>
      <c r="M5" s="20"/>
      <c r="N5" s="20"/>
      <c r="O5" s="20"/>
      <c r="P5" s="20"/>
      <c r="Q5" s="20"/>
      <c r="R5" s="20"/>
    </row>
    <row r="6" spans="1:33" ht="24.75" customHeight="1" thickBot="1">
      <c r="A6" s="90"/>
      <c r="B6" s="299"/>
      <c r="C6" s="299"/>
      <c r="D6" s="299"/>
      <c r="E6" s="299"/>
      <c r="F6" s="299"/>
      <c r="G6" s="91"/>
      <c r="H6" s="300" t="s">
        <v>160</v>
      </c>
      <c r="I6" s="300"/>
      <c r="J6" s="300"/>
      <c r="K6" s="300"/>
      <c r="L6" s="300"/>
      <c r="M6" s="20"/>
      <c r="N6" s="300" t="s">
        <v>161</v>
      </c>
      <c r="O6" s="300"/>
      <c r="P6" s="300"/>
      <c r="Q6" s="300"/>
      <c r="R6" s="300"/>
    </row>
    <row r="7" spans="1:33" ht="46.5" customHeight="1" thickBot="1">
      <c r="A7" s="92" t="s">
        <v>38</v>
      </c>
      <c r="B7" s="93" t="s">
        <v>41</v>
      </c>
      <c r="C7" s="237"/>
      <c r="D7" s="93" t="s">
        <v>23</v>
      </c>
      <c r="E7" s="237"/>
      <c r="F7" s="93" t="s">
        <v>35</v>
      </c>
      <c r="G7" s="237"/>
      <c r="H7" s="21" t="s">
        <v>58</v>
      </c>
      <c r="I7" s="238"/>
      <c r="J7" s="21" t="s">
        <v>40</v>
      </c>
      <c r="K7" s="238"/>
      <c r="L7" s="21" t="s">
        <v>42</v>
      </c>
      <c r="M7" s="20"/>
      <c r="N7" s="21" t="s">
        <v>58</v>
      </c>
      <c r="O7" s="238"/>
      <c r="P7" s="21" t="s">
        <v>40</v>
      </c>
      <c r="Q7" s="238"/>
      <c r="R7" s="21" t="s">
        <v>42</v>
      </c>
      <c r="T7" s="245"/>
      <c r="U7" s="246"/>
      <c r="V7" s="247"/>
      <c r="Y7" s="245"/>
      <c r="Z7" s="246"/>
      <c r="AA7" s="247"/>
    </row>
    <row r="8" spans="1:33" s="81" customFormat="1" ht="46.5" customHeight="1">
      <c r="A8" s="160" t="s">
        <v>163</v>
      </c>
      <c r="B8" s="33" t="s">
        <v>168</v>
      </c>
      <c r="C8" s="237"/>
      <c r="D8" s="161" t="s">
        <v>93</v>
      </c>
      <c r="E8" s="91"/>
      <c r="F8" s="340">
        <v>22.5</v>
      </c>
      <c r="G8" s="91"/>
      <c r="H8" s="33">
        <v>27739728.947368421</v>
      </c>
      <c r="I8" s="33"/>
      <c r="J8" s="33">
        <v>-513658</v>
      </c>
      <c r="K8" s="33"/>
      <c r="L8" s="33">
        <f>H8+J8</f>
        <v>27226070.947368421</v>
      </c>
      <c r="M8" s="33"/>
      <c r="N8" s="33">
        <v>27739728.947368421</v>
      </c>
      <c r="O8" s="33"/>
      <c r="P8" s="33">
        <v>-513658</v>
      </c>
      <c r="Q8" s="33"/>
      <c r="R8" s="33">
        <f>N8+P8</f>
        <v>27226070.947368421</v>
      </c>
      <c r="S8" s="67"/>
      <c r="T8" s="244"/>
      <c r="U8" s="248"/>
      <c r="V8" s="244"/>
      <c r="W8" s="244"/>
      <c r="X8" s="244"/>
      <c r="Y8" s="244"/>
      <c r="Z8" s="248"/>
      <c r="AA8" s="244"/>
      <c r="AB8" s="244"/>
      <c r="AC8" s="244"/>
      <c r="AD8" s="244"/>
      <c r="AE8" s="244"/>
      <c r="AF8" s="244"/>
      <c r="AG8" s="244"/>
    </row>
    <row r="9" spans="1:33" s="81" customFormat="1" ht="46.5" customHeight="1">
      <c r="A9" s="160" t="s">
        <v>103</v>
      </c>
      <c r="B9" s="33" t="s">
        <v>159</v>
      </c>
      <c r="C9" s="237"/>
      <c r="D9" s="161"/>
      <c r="E9" s="91"/>
      <c r="F9" s="33">
        <v>5</v>
      </c>
      <c r="G9" s="91"/>
      <c r="H9" s="33">
        <v>5371</v>
      </c>
      <c r="I9" s="33"/>
      <c r="J9" s="33">
        <v>0</v>
      </c>
      <c r="K9" s="33"/>
      <c r="L9" s="33">
        <f t="shared" ref="L9:L10" si="0">H9+J9</f>
        <v>5371</v>
      </c>
      <c r="M9" s="33"/>
      <c r="N9" s="33">
        <v>2045148</v>
      </c>
      <c r="O9" s="33"/>
      <c r="P9" s="33">
        <v>0</v>
      </c>
      <c r="Q9" s="33"/>
      <c r="R9" s="33">
        <f t="shared" ref="R9:R10" si="1">N9+P9</f>
        <v>2045148</v>
      </c>
      <c r="S9" s="67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</row>
    <row r="10" spans="1:33" s="81" customFormat="1" ht="46.5" customHeight="1">
      <c r="A10" s="160" t="s">
        <v>104</v>
      </c>
      <c r="B10" s="33" t="s">
        <v>167</v>
      </c>
      <c r="C10" s="237"/>
      <c r="D10" s="161" t="s">
        <v>93</v>
      </c>
      <c r="E10" s="91"/>
      <c r="F10" s="33">
        <v>5</v>
      </c>
      <c r="G10" s="91"/>
      <c r="H10" s="33">
        <v>7404895.0526315793</v>
      </c>
      <c r="I10" s="33"/>
      <c r="J10" s="33">
        <v>0</v>
      </c>
      <c r="K10" s="33"/>
      <c r="L10" s="33">
        <f t="shared" si="0"/>
        <v>7404895.0526315793</v>
      </c>
      <c r="M10" s="33"/>
      <c r="N10" s="33">
        <v>7435149.0526315793</v>
      </c>
      <c r="O10" s="33"/>
      <c r="P10" s="33">
        <v>0</v>
      </c>
      <c r="Q10" s="33"/>
      <c r="R10" s="33">
        <f t="shared" si="1"/>
        <v>7435149.0526315793</v>
      </c>
      <c r="S10" s="67"/>
      <c r="T10" s="244"/>
      <c r="U10" s="244"/>
      <c r="V10" s="244"/>
      <c r="W10" s="248"/>
      <c r="X10" s="244"/>
      <c r="Y10" s="244"/>
      <c r="Z10" s="244"/>
      <c r="AA10" s="244"/>
      <c r="AB10" s="248"/>
      <c r="AC10" s="244"/>
      <c r="AD10" s="244"/>
      <c r="AE10" s="244"/>
      <c r="AF10" s="244"/>
      <c r="AG10" s="244"/>
    </row>
    <row r="11" spans="1:33" ht="47.45" customHeight="1" thickBot="1">
      <c r="A11" s="160"/>
      <c r="B11" s="91"/>
      <c r="C11" s="91"/>
      <c r="D11" s="91"/>
      <c r="E11" s="91"/>
      <c r="F11" s="91"/>
      <c r="G11" s="91"/>
      <c r="H11" s="169">
        <f>SUM(H8:H10)</f>
        <v>35149995</v>
      </c>
      <c r="I11" s="113"/>
      <c r="J11" s="169">
        <f>SUM(J8:J10)</f>
        <v>-513658</v>
      </c>
      <c r="K11" s="113"/>
      <c r="L11" s="169">
        <f>SUM(L8:L10)</f>
        <v>34636337</v>
      </c>
      <c r="M11" s="113"/>
      <c r="N11" s="169">
        <f>SUM(N8:N10)</f>
        <v>37220026</v>
      </c>
      <c r="O11" s="113"/>
      <c r="P11" s="169">
        <f>SUM(P8:P10)</f>
        <v>-513658</v>
      </c>
      <c r="Q11" s="170" t="e">
        <f>SUM(#REF!)</f>
        <v>#REF!</v>
      </c>
      <c r="R11" s="169">
        <f>SUM(R8:R10)</f>
        <v>36706368</v>
      </c>
    </row>
    <row r="12" spans="1:33" ht="22.5" thickTop="1">
      <c r="I12" s="81"/>
      <c r="K12" s="81"/>
      <c r="M12" s="81"/>
      <c r="O12" s="81"/>
    </row>
    <row r="13" spans="1:33">
      <c r="I13" s="81"/>
      <c r="K13" s="81"/>
      <c r="M13" s="81"/>
      <c r="O13" s="81"/>
    </row>
    <row r="14" spans="1:33">
      <c r="H14" s="67"/>
      <c r="I14" s="81"/>
      <c r="K14" s="81"/>
      <c r="M14" s="81"/>
    </row>
    <row r="15" spans="1:33" s="83" customFormat="1">
      <c r="H15" s="88"/>
      <c r="J15" s="89"/>
      <c r="L15" s="23"/>
      <c r="N15" s="24"/>
      <c r="P15" s="88"/>
      <c r="R15" s="12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</row>
    <row r="16" spans="1:33" s="83" customFormat="1">
      <c r="H16" s="25"/>
      <c r="I16" s="87"/>
      <c r="J16" s="87"/>
      <c r="L16" s="23"/>
      <c r="N16" s="25"/>
      <c r="P16" s="87"/>
      <c r="R16" s="12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</row>
    <row r="17" spans="8:18">
      <c r="H17" s="16"/>
      <c r="I17" s="81"/>
      <c r="K17" s="81"/>
      <c r="L17" s="12"/>
      <c r="N17" s="16"/>
      <c r="R17" s="12"/>
    </row>
    <row r="18" spans="8:18">
      <c r="H18" s="26"/>
      <c r="K18" s="81"/>
      <c r="L18" s="12"/>
      <c r="N18" s="26"/>
      <c r="R18" s="12"/>
    </row>
    <row r="19" spans="8:18">
      <c r="L19" s="12"/>
      <c r="R19" s="12"/>
    </row>
    <row r="20" spans="8:18">
      <c r="L20" s="12"/>
      <c r="R20" s="12"/>
    </row>
    <row r="21" spans="8:18">
      <c r="L21" s="12"/>
      <c r="R21" s="12"/>
    </row>
    <row r="22" spans="8:18">
      <c r="L22" s="12"/>
      <c r="R22" s="12"/>
    </row>
  </sheetData>
  <autoFilter ref="A7:R7" xr:uid="{00000000-0009-0000-0000-000005000000}">
    <sortState xmlns:xlrd2="http://schemas.microsoft.com/office/spreadsheetml/2017/richdata2" ref="A8:R15">
      <sortCondition descending="1" ref="R7"/>
    </sortState>
  </autoFilter>
  <mergeCells count="7">
    <mergeCell ref="A5:H5"/>
    <mergeCell ref="B6:F6"/>
    <mergeCell ref="N6:R6"/>
    <mergeCell ref="A1:R1"/>
    <mergeCell ref="A2:R2"/>
    <mergeCell ref="A3:R3"/>
    <mergeCell ref="H6:L6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W21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17.25"/>
  <cols>
    <col min="1" max="1" width="30.5703125" style="83" bestFit="1" customWidth="1"/>
    <col min="2" max="2" width="0.5703125" style="83" customWidth="1"/>
    <col min="3" max="3" width="15" style="83" customWidth="1"/>
    <col min="4" max="4" width="0.85546875" style="83" customWidth="1"/>
    <col min="5" max="5" width="15.28515625" style="83" bestFit="1" customWidth="1"/>
    <col min="6" max="6" width="1.140625" style="83" customWidth="1"/>
    <col min="7" max="7" width="9.42578125" style="83" bestFit="1" customWidth="1"/>
    <col min="8" max="8" width="0.5703125" style="83" customWidth="1"/>
    <col min="9" max="9" width="19.42578125" style="83" customWidth="1"/>
    <col min="10" max="10" width="1" style="83" customWidth="1"/>
    <col min="11" max="11" width="15.28515625" style="83" customWidth="1"/>
    <col min="12" max="12" width="1.140625" style="83" customWidth="1"/>
    <col min="13" max="13" width="18.28515625" style="83" customWidth="1"/>
    <col min="14" max="14" width="1" style="83" customWidth="1"/>
    <col min="15" max="15" width="19.42578125" style="83" bestFit="1" customWidth="1"/>
    <col min="16" max="16" width="1.140625" style="83" customWidth="1"/>
    <col min="17" max="17" width="16" style="83" bestFit="1" customWidth="1"/>
    <col min="18" max="18" width="1.140625" style="83" customWidth="1"/>
    <col min="19" max="19" width="21.140625" style="83" bestFit="1" customWidth="1"/>
    <col min="20" max="20" width="2.85546875" style="83" customWidth="1"/>
    <col min="21" max="16384" width="9.140625" style="83"/>
  </cols>
  <sheetData>
    <row r="1" spans="1:23" ht="22.5">
      <c r="A1" s="303" t="s">
        <v>94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23" ht="22.5">
      <c r="A2" s="303" t="s">
        <v>57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</row>
    <row r="3" spans="1:23" ht="22.5">
      <c r="A3" s="303" t="str">
        <f>' سهام'!A3:W3</f>
        <v>برای ماه منتهی به 1402/12/29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</row>
    <row r="4" spans="1:23" ht="22.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</row>
    <row r="5" spans="1:23" ht="22.5">
      <c r="A5" s="304" t="s">
        <v>77</v>
      </c>
      <c r="B5" s="304"/>
      <c r="C5" s="304"/>
      <c r="D5" s="304"/>
      <c r="E5" s="304"/>
      <c r="F5" s="304"/>
      <c r="G5" s="304"/>
      <c r="H5" s="304"/>
      <c r="I5" s="305"/>
      <c r="J5" s="305"/>
      <c r="K5" s="305"/>
      <c r="L5" s="305"/>
      <c r="M5" s="305"/>
      <c r="N5" s="305"/>
      <c r="O5" s="305"/>
      <c r="P5" s="305"/>
      <c r="Q5" s="304"/>
      <c r="R5" s="304"/>
      <c r="S5" s="304"/>
    </row>
    <row r="7" spans="1:23" ht="18.75">
      <c r="C7" s="301" t="s">
        <v>78</v>
      </c>
      <c r="D7" s="302"/>
      <c r="E7" s="302"/>
      <c r="F7" s="302"/>
      <c r="G7" s="302"/>
      <c r="I7" s="301" t="s">
        <v>79</v>
      </c>
      <c r="J7" s="302"/>
      <c r="K7" s="302"/>
      <c r="L7" s="302"/>
      <c r="M7" s="302"/>
      <c r="O7" s="301" t="str">
        <f>اوراق!Y7</f>
        <v>1402/12/29</v>
      </c>
      <c r="P7" s="302"/>
      <c r="Q7" s="302"/>
      <c r="R7" s="302"/>
      <c r="S7" s="302"/>
    </row>
    <row r="8" spans="1:23" ht="56.25">
      <c r="A8" s="235" t="s">
        <v>80</v>
      </c>
      <c r="C8" s="95" t="s">
        <v>81</v>
      </c>
      <c r="E8" s="95" t="s">
        <v>82</v>
      </c>
      <c r="G8" s="95" t="s">
        <v>83</v>
      </c>
      <c r="I8" s="95" t="s">
        <v>84</v>
      </c>
      <c r="K8" s="95" t="s">
        <v>85</v>
      </c>
      <c r="M8" s="95" t="s">
        <v>86</v>
      </c>
      <c r="O8" s="95" t="s">
        <v>84</v>
      </c>
      <c r="Q8" s="95" t="s">
        <v>85</v>
      </c>
      <c r="S8" s="95" t="s">
        <v>86</v>
      </c>
    </row>
    <row r="9" spans="1:23" ht="21.75">
      <c r="A9" s="96" t="s">
        <v>114</v>
      </c>
      <c r="B9" s="97"/>
      <c r="C9" s="27" t="s">
        <v>166</v>
      </c>
      <c r="D9" s="27"/>
      <c r="E9" s="12">
        <v>40952</v>
      </c>
      <c r="F9" s="12"/>
      <c r="G9" s="12">
        <v>3935</v>
      </c>
      <c r="H9" s="12"/>
      <c r="I9" s="12">
        <v>161146120</v>
      </c>
      <c r="J9" s="12"/>
      <c r="K9" s="12">
        <v>-6665926</v>
      </c>
      <c r="L9" s="12"/>
      <c r="M9" s="12">
        <f>K9+I9</f>
        <v>154480194</v>
      </c>
      <c r="N9" s="12"/>
      <c r="O9" s="12">
        <v>161146120</v>
      </c>
      <c r="P9" s="12"/>
      <c r="Q9" s="12">
        <v>-6665926</v>
      </c>
      <c r="R9" s="12"/>
      <c r="S9" s="12">
        <f>O9+Q9</f>
        <v>154480194</v>
      </c>
      <c r="U9" s="98"/>
      <c r="V9" s="98"/>
      <c r="W9" s="98"/>
    </row>
    <row r="10" spans="1:23" ht="18.75" thickBot="1">
      <c r="A10" s="99" t="s">
        <v>87</v>
      </c>
      <c r="E10" s="87"/>
      <c r="F10" s="87"/>
      <c r="G10" s="87"/>
      <c r="H10" s="87"/>
      <c r="I10" s="100">
        <f>SUM(I9:I9)</f>
        <v>161146120</v>
      </c>
      <c r="J10" s="101" t="e">
        <f>SUM(#REF!)</f>
        <v>#REF!</v>
      </c>
      <c r="K10" s="102">
        <f>SUM(K9:K9)</f>
        <v>-6665926</v>
      </c>
      <c r="L10" s="101" t="e">
        <f>SUM(#REF!)</f>
        <v>#REF!</v>
      </c>
      <c r="M10" s="100">
        <f>SUM(M9:M9)</f>
        <v>154480194</v>
      </c>
      <c r="N10" s="101" t="e">
        <f>SUM(#REF!)</f>
        <v>#REF!</v>
      </c>
      <c r="O10" s="100">
        <f>SUM(O9:O9)</f>
        <v>161146120</v>
      </c>
      <c r="P10" s="101"/>
      <c r="Q10" s="100">
        <f>SUM(Q9:Q9)</f>
        <v>-6665926</v>
      </c>
      <c r="R10" s="101" t="e">
        <f>SUM(#REF!)</f>
        <v>#REF!</v>
      </c>
      <c r="S10" s="100">
        <f>SUM(S9:S9)</f>
        <v>154480194</v>
      </c>
    </row>
    <row r="11" spans="1:23" ht="18.75" thickTop="1">
      <c r="I11" s="103"/>
      <c r="K11" s="103"/>
      <c r="M11" s="103"/>
      <c r="O11" s="103"/>
      <c r="Q11" s="103"/>
      <c r="S11" s="103"/>
    </row>
    <row r="12" spans="1:23" ht="16.5" customHeight="1"/>
    <row r="13" spans="1:23" s="12" customFormat="1" ht="18"/>
    <row r="14" spans="1:23" s="12" customFormat="1" ht="18"/>
    <row r="15" spans="1:23" s="12" customFormat="1" ht="18"/>
    <row r="16" spans="1:23" s="12" customFormat="1" ht="18"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="12" customFormat="1" ht="18"/>
    <row r="18" s="12" customFormat="1" ht="18"/>
    <row r="19" s="12" customFormat="1" ht="18"/>
    <row r="20" s="12" customFormat="1" ht="18"/>
    <row r="21" s="12" customFormat="1" ht="18"/>
  </sheetData>
  <autoFilter ref="A8:S8" xr:uid="{00000000-0009-0000-0000-000006000000}">
    <sortState xmlns:xlrd2="http://schemas.microsoft.com/office/spreadsheetml/2017/richdata2" ref="A9:S28">
      <sortCondition descending="1" ref="S8"/>
    </sortState>
  </autoFilter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A64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17.25"/>
  <cols>
    <col min="1" max="1" width="29.7109375" style="83" customWidth="1"/>
    <col min="2" max="2" width="1.140625" style="83" customWidth="1"/>
    <col min="3" max="3" width="17.28515625" style="83" bestFit="1" customWidth="1"/>
    <col min="4" max="4" width="0.85546875" style="83" customWidth="1"/>
    <col min="5" max="5" width="24.5703125" style="17" bestFit="1" customWidth="1"/>
    <col min="6" max="6" width="0.5703125" style="17" customWidth="1"/>
    <col min="7" max="7" width="22.5703125" style="17" bestFit="1" customWidth="1"/>
    <col min="8" max="8" width="0.85546875" style="17" customWidth="1"/>
    <col min="9" max="9" width="22" style="34" bestFit="1" customWidth="1"/>
    <col min="10" max="10" width="0.5703125" style="34" customWidth="1"/>
    <col min="11" max="11" width="13.7109375" style="34" customWidth="1"/>
    <col min="12" max="12" width="0.42578125" style="34" customWidth="1"/>
    <col min="13" max="13" width="26.28515625" style="34" bestFit="1" customWidth="1"/>
    <col min="14" max="14" width="0.42578125" style="34" customWidth="1"/>
    <col min="15" max="15" width="24.28515625" style="34" bestFit="1" customWidth="1"/>
    <col min="16" max="16" width="0.5703125" style="34" customWidth="1"/>
    <col min="17" max="17" width="24.28515625" style="34" bestFit="1" customWidth="1"/>
    <col min="18" max="18" width="9.5703125" style="83" bestFit="1" customWidth="1"/>
    <col min="19" max="19" width="13.7109375" style="83" bestFit="1" customWidth="1"/>
    <col min="20" max="20" width="14.140625" style="83" customWidth="1"/>
    <col min="21" max="21" width="12.5703125" style="83" bestFit="1" customWidth="1"/>
    <col min="22" max="22" width="9.140625" style="83"/>
    <col min="23" max="23" width="9.5703125" style="83" bestFit="1" customWidth="1"/>
    <col min="24" max="25" width="12.5703125" style="83" bestFit="1" customWidth="1"/>
    <col min="26" max="16384" width="9.140625" style="83"/>
  </cols>
  <sheetData>
    <row r="1" spans="1:27" ht="22.5">
      <c r="A1" s="303" t="s">
        <v>94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27" ht="22.5">
      <c r="A2" s="303" t="s">
        <v>57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1:27" ht="22.5">
      <c r="A3" s="303" t="str">
        <f>' سهام'!A3:W3</f>
        <v>برای ماه منتهی به 1402/12/29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</row>
    <row r="4" spans="1:27" ht="22.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27" ht="22.5">
      <c r="A5" s="304" t="s">
        <v>65</v>
      </c>
      <c r="B5" s="304"/>
      <c r="C5" s="304"/>
      <c r="D5" s="304"/>
      <c r="E5" s="304"/>
      <c r="F5" s="304"/>
      <c r="G5" s="304"/>
      <c r="H5" s="304"/>
      <c r="I5" s="304"/>
      <c r="J5" s="305"/>
      <c r="K5" s="305"/>
      <c r="L5" s="305"/>
      <c r="M5" s="305"/>
      <c r="N5" s="305"/>
      <c r="O5" s="305"/>
      <c r="P5" s="305"/>
      <c r="Q5" s="305"/>
    </row>
    <row r="6" spans="1:27" ht="15.75" customHeight="1">
      <c r="A6" s="81"/>
      <c r="B6" s="81"/>
      <c r="C6" s="309" t="str" cm="1">
        <f t="array" ref="C6:G6">'سود اوراق بهادار و سپرده بانکی'!H6:L6</f>
        <v>طی اسفند ماه</v>
      </c>
      <c r="D6" s="309">
        <v>0</v>
      </c>
      <c r="E6" s="309">
        <v>0</v>
      </c>
      <c r="F6" s="309">
        <v>0</v>
      </c>
      <c r="G6" s="309">
        <v>0</v>
      </c>
      <c r="H6" s="309"/>
      <c r="I6" s="309"/>
      <c r="J6" s="2"/>
      <c r="K6" s="309" t="str" cm="1">
        <f t="array" ref="K6:O6">'سود اوراق بهادار و سپرده بانکی'!N6:R6</f>
        <v>از ابتدای سال مالی تا پایان اسفند ماه</v>
      </c>
      <c r="L6" s="309">
        <v>0</v>
      </c>
      <c r="M6" s="309">
        <v>0</v>
      </c>
      <c r="N6" s="309">
        <v>0</v>
      </c>
      <c r="O6" s="309">
        <v>0</v>
      </c>
      <c r="P6" s="309"/>
      <c r="Q6" s="309"/>
      <c r="Z6" s="108"/>
      <c r="AA6" s="108"/>
    </row>
    <row r="7" spans="1:27" ht="22.5" thickBot="1">
      <c r="A7" s="104" t="s">
        <v>38</v>
      </c>
      <c r="B7" s="104"/>
      <c r="C7" s="105" t="s">
        <v>3</v>
      </c>
      <c r="D7" s="104"/>
      <c r="E7" s="48" t="s">
        <v>46</v>
      </c>
      <c r="F7" s="49"/>
      <c r="G7" s="50" t="s">
        <v>43</v>
      </c>
      <c r="H7" s="49"/>
      <c r="I7" s="30" t="s">
        <v>47</v>
      </c>
      <c r="J7" s="2"/>
      <c r="K7" s="28" t="s">
        <v>3</v>
      </c>
      <c r="L7" s="29"/>
      <c r="M7" s="30" t="s">
        <v>21</v>
      </c>
      <c r="N7" s="29"/>
      <c r="O7" s="28" t="s">
        <v>43</v>
      </c>
      <c r="P7" s="29"/>
      <c r="Q7" s="31" t="s">
        <v>47</v>
      </c>
      <c r="Z7" s="108"/>
      <c r="AA7" s="108"/>
    </row>
    <row r="8" spans="1:27" ht="21.75">
      <c r="A8" s="83" t="s">
        <v>118</v>
      </c>
      <c r="B8" s="104"/>
      <c r="C8" s="59">
        <f>IFERROR(VLOOKUP(A8,اوراق!A10:W14,22,0),0)</f>
        <v>0</v>
      </c>
      <c r="D8" s="104"/>
      <c r="E8" s="59">
        <f>IFERROR(VLOOKUP(A8,اوراق!$A$10:$AG$14,23,0),0)</f>
        <v>0</v>
      </c>
      <c r="F8" s="49"/>
      <c r="G8" s="51">
        <v>0</v>
      </c>
      <c r="H8" s="49"/>
      <c r="I8" s="51">
        <f>E8-G8</f>
        <v>0</v>
      </c>
      <c r="J8" s="2"/>
      <c r="K8" s="51">
        <v>3500</v>
      </c>
      <c r="L8" s="29"/>
      <c r="M8" s="51">
        <v>2450514804</v>
      </c>
      <c r="N8" s="29"/>
      <c r="O8" s="51">
        <v>2429435408</v>
      </c>
      <c r="P8" s="29"/>
      <c r="Q8" s="51">
        <f>M8-O8</f>
        <v>21079396</v>
      </c>
      <c r="R8" s="87"/>
      <c r="T8" s="87"/>
      <c r="U8" s="87"/>
      <c r="X8" s="87"/>
      <c r="Y8" s="87"/>
      <c r="Z8" s="108"/>
      <c r="AA8" s="108"/>
    </row>
    <row r="9" spans="1:27" ht="21.75">
      <c r="A9" s="83" t="s">
        <v>126</v>
      </c>
      <c r="B9" s="104"/>
      <c r="C9" s="59">
        <f>IFERROR(VLOOKUP(A9,اوراق!A11:W15,22,0),0)</f>
        <v>0</v>
      </c>
      <c r="D9" s="104"/>
      <c r="E9" s="59">
        <f>IFERROR(VLOOKUP(A9,اوراق!$A$10:$AG$14,23,0),0)</f>
        <v>0</v>
      </c>
      <c r="F9" s="49"/>
      <c r="G9" s="51">
        <v>0</v>
      </c>
      <c r="H9" s="49"/>
      <c r="I9" s="51">
        <f t="shared" ref="I9:I32" si="0">E9-G9</f>
        <v>0</v>
      </c>
      <c r="J9" s="2"/>
      <c r="K9" s="51">
        <v>14380</v>
      </c>
      <c r="L9" s="29"/>
      <c r="M9" s="51">
        <v>9735476935</v>
      </c>
      <c r="N9" s="29"/>
      <c r="O9" s="51">
        <v>9693761537</v>
      </c>
      <c r="P9" s="29"/>
      <c r="Q9" s="51">
        <f t="shared" ref="Q9:Q34" si="1">M9-O9</f>
        <v>41715398</v>
      </c>
      <c r="R9" s="87"/>
      <c r="T9" s="87"/>
      <c r="U9" s="87"/>
      <c r="X9" s="87"/>
      <c r="Y9" s="87"/>
      <c r="Z9" s="108"/>
      <c r="AA9" s="108"/>
    </row>
    <row r="10" spans="1:27" ht="21.75">
      <c r="A10" s="83" t="s">
        <v>114</v>
      </c>
      <c r="B10" s="104"/>
      <c r="C10" s="59">
        <f>IFERROR(VLOOKUP(A10,' سهام'!$A$11:$M$32,12,0),0)</f>
        <v>0</v>
      </c>
      <c r="D10" s="104"/>
      <c r="E10" s="59">
        <f>IFERROR(VLOOKUP(A10,' سهام'!$A$11:$M$32,13,0),0)</f>
        <v>0</v>
      </c>
      <c r="F10" s="49"/>
      <c r="G10" s="51">
        <v>0</v>
      </c>
      <c r="H10" s="49"/>
      <c r="I10" s="51">
        <f t="shared" si="0"/>
        <v>0</v>
      </c>
      <c r="J10" s="2"/>
      <c r="K10" s="51">
        <v>42202</v>
      </c>
      <c r="L10" s="29"/>
      <c r="M10" s="51">
        <v>1033189702</v>
      </c>
      <c r="N10" s="29"/>
      <c r="O10" s="51">
        <v>965709676</v>
      </c>
      <c r="P10" s="29"/>
      <c r="Q10" s="51">
        <f t="shared" si="1"/>
        <v>67480026</v>
      </c>
      <c r="R10" s="87"/>
      <c r="T10" s="87"/>
      <c r="U10" s="87"/>
      <c r="X10" s="87"/>
      <c r="Y10" s="87"/>
    </row>
    <row r="11" spans="1:27" ht="21.75">
      <c r="A11" s="83" t="s">
        <v>98</v>
      </c>
      <c r="B11" s="104"/>
      <c r="C11" s="59">
        <f>IFERROR(VLOOKUP(A11,' سهام'!$A$11:$M$32,12,0),0)</f>
        <v>0</v>
      </c>
      <c r="D11" s="104"/>
      <c r="E11" s="59">
        <f>IFERROR(VLOOKUP(A11,' سهام'!$A$11:$M$32,13,0),0)</f>
        <v>0</v>
      </c>
      <c r="F11" s="49"/>
      <c r="G11" s="51">
        <v>0</v>
      </c>
      <c r="H11" s="49"/>
      <c r="I11" s="51">
        <f t="shared" si="0"/>
        <v>0</v>
      </c>
      <c r="J11" s="2"/>
      <c r="K11" s="51">
        <v>523009</v>
      </c>
      <c r="L11" s="29"/>
      <c r="M11" s="51">
        <v>8731878637</v>
      </c>
      <c r="N11" s="29"/>
      <c r="O11" s="51">
        <v>8602826109</v>
      </c>
      <c r="P11" s="29"/>
      <c r="Q11" s="51">
        <f t="shared" si="1"/>
        <v>129052528</v>
      </c>
      <c r="R11" s="87"/>
      <c r="S11" s="51"/>
      <c r="T11" s="87"/>
      <c r="U11" s="87"/>
      <c r="X11" s="87"/>
      <c r="Y11" s="87"/>
    </row>
    <row r="12" spans="1:27" ht="21.75">
      <c r="A12" s="83" t="s">
        <v>102</v>
      </c>
      <c r="B12" s="104"/>
      <c r="C12" s="59">
        <f>IFERROR(VLOOKUP(A12,' سهام'!$A$11:$M$32,12,0),0)</f>
        <v>0</v>
      </c>
      <c r="D12" s="104"/>
      <c r="E12" s="59">
        <f>IFERROR(VLOOKUP(A12,' سهام'!$A$11:$M$32,13,0),0)</f>
        <v>0</v>
      </c>
      <c r="F12" s="49"/>
      <c r="G12" s="51">
        <v>0</v>
      </c>
      <c r="H12" s="49"/>
      <c r="I12" s="51">
        <f t="shared" si="0"/>
        <v>0</v>
      </c>
      <c r="J12" s="2"/>
      <c r="K12" s="51">
        <v>1256965</v>
      </c>
      <c r="L12" s="29"/>
      <c r="M12" s="51">
        <v>4675731132</v>
      </c>
      <c r="N12" s="29"/>
      <c r="O12" s="51">
        <v>4899234838</v>
      </c>
      <c r="P12" s="29"/>
      <c r="Q12" s="51">
        <f t="shared" si="1"/>
        <v>-223503706</v>
      </c>
      <c r="R12" s="87"/>
      <c r="S12" s="51"/>
      <c r="T12" s="87"/>
      <c r="U12" s="87"/>
      <c r="X12" s="87"/>
      <c r="Y12" s="87"/>
    </row>
    <row r="13" spans="1:27" ht="21.75">
      <c r="A13" s="83" t="s">
        <v>101</v>
      </c>
      <c r="B13" s="104"/>
      <c r="C13" s="59">
        <f>IFERROR(VLOOKUP(A13,' سهام'!$A$11:$M$32,12,0),0)</f>
        <v>0</v>
      </c>
      <c r="D13" s="104"/>
      <c r="E13" s="59">
        <f>IFERROR(VLOOKUP(A13,' سهام'!$A$11:$M$32,13,0),0)</f>
        <v>0</v>
      </c>
      <c r="F13" s="49"/>
      <c r="G13" s="51">
        <v>0</v>
      </c>
      <c r="H13" s="49"/>
      <c r="I13" s="51">
        <f t="shared" si="0"/>
        <v>0</v>
      </c>
      <c r="J13" s="2"/>
      <c r="K13" s="51">
        <v>195766</v>
      </c>
      <c r="L13" s="29"/>
      <c r="M13" s="51">
        <v>3621595810</v>
      </c>
      <c r="N13" s="29"/>
      <c r="O13" s="51">
        <v>3650718367</v>
      </c>
      <c r="P13" s="29"/>
      <c r="Q13" s="51">
        <f t="shared" si="1"/>
        <v>-29122557</v>
      </c>
      <c r="R13" s="87"/>
      <c r="S13" s="51"/>
      <c r="T13" s="87"/>
      <c r="U13" s="87"/>
      <c r="X13" s="87"/>
      <c r="Y13" s="87"/>
    </row>
    <row r="14" spans="1:27" ht="21.75">
      <c r="A14" s="83" t="s">
        <v>99</v>
      </c>
      <c r="B14" s="104"/>
      <c r="C14" s="59">
        <f>IFERROR(VLOOKUP(A14,' سهام'!$A$11:$M$32,12,0),0)</f>
        <v>0</v>
      </c>
      <c r="D14" s="104"/>
      <c r="E14" s="59">
        <f>IFERROR(VLOOKUP(A14,' سهام'!$A$11:$M$32,13,0),0)</f>
        <v>0</v>
      </c>
      <c r="F14" s="49"/>
      <c r="G14" s="51">
        <v>0</v>
      </c>
      <c r="H14" s="49"/>
      <c r="I14" s="51">
        <f t="shared" si="0"/>
        <v>0</v>
      </c>
      <c r="J14" s="2"/>
      <c r="K14" s="51">
        <v>133910</v>
      </c>
      <c r="L14" s="29"/>
      <c r="M14" s="51">
        <v>5797141233</v>
      </c>
      <c r="N14" s="29"/>
      <c r="O14" s="51">
        <v>5902481868</v>
      </c>
      <c r="P14" s="29"/>
      <c r="Q14" s="51">
        <f t="shared" si="1"/>
        <v>-105340635</v>
      </c>
      <c r="R14" s="87"/>
      <c r="T14" s="87"/>
      <c r="U14" s="87"/>
      <c r="X14" s="87"/>
      <c r="Y14" s="87"/>
    </row>
    <row r="15" spans="1:27" ht="21.75">
      <c r="A15" s="83" t="s">
        <v>95</v>
      </c>
      <c r="B15" s="104"/>
      <c r="C15" s="59">
        <f>IFERROR(VLOOKUP(A15,' سهام'!$A$11:$M$32,12,0),0)</f>
        <v>0</v>
      </c>
      <c r="D15" s="104"/>
      <c r="E15" s="59">
        <f>IFERROR(VLOOKUP(A15,' سهام'!$A$11:$M$32,13,0),0)</f>
        <v>0</v>
      </c>
      <c r="F15" s="49"/>
      <c r="G15" s="51">
        <v>0</v>
      </c>
      <c r="H15" s="49"/>
      <c r="I15" s="51">
        <f t="shared" si="0"/>
        <v>0</v>
      </c>
      <c r="J15" s="2"/>
      <c r="K15" s="51">
        <v>987662</v>
      </c>
      <c r="L15" s="29"/>
      <c r="M15" s="51">
        <v>11254265565</v>
      </c>
      <c r="N15" s="29"/>
      <c r="O15" s="51">
        <v>10318564673</v>
      </c>
      <c r="P15" s="29"/>
      <c r="Q15" s="51">
        <f t="shared" si="1"/>
        <v>935700892</v>
      </c>
      <c r="R15" s="87"/>
      <c r="T15" s="87"/>
      <c r="U15" s="87"/>
      <c r="X15" s="87"/>
      <c r="Y15" s="87"/>
    </row>
    <row r="16" spans="1:27" ht="21.75">
      <c r="A16" s="83" t="s">
        <v>111</v>
      </c>
      <c r="B16" s="104"/>
      <c r="C16" s="59">
        <f>IFERROR(VLOOKUP(A16,' سهام'!$A$11:$M$32,12,0),0)</f>
        <v>0</v>
      </c>
      <c r="D16" s="104"/>
      <c r="E16" s="59">
        <f>IFERROR(VLOOKUP(A16,' سهام'!$A$11:$M$32,13,0),0)</f>
        <v>0</v>
      </c>
      <c r="F16" s="49"/>
      <c r="G16" s="51">
        <v>0</v>
      </c>
      <c r="H16" s="49"/>
      <c r="I16" s="51">
        <f t="shared" si="0"/>
        <v>0</v>
      </c>
      <c r="J16" s="2"/>
      <c r="K16" s="51">
        <v>46954</v>
      </c>
      <c r="L16" s="29"/>
      <c r="M16" s="51">
        <v>1256185980</v>
      </c>
      <c r="N16" s="29"/>
      <c r="O16" s="51">
        <v>1016106560</v>
      </c>
      <c r="P16" s="29"/>
      <c r="Q16" s="51">
        <f t="shared" si="1"/>
        <v>240079420</v>
      </c>
      <c r="R16" s="87"/>
      <c r="T16" s="87"/>
      <c r="U16" s="87"/>
      <c r="X16" s="87"/>
      <c r="Y16" s="87"/>
    </row>
    <row r="17" spans="1:25" ht="21.75">
      <c r="A17" s="83" t="s">
        <v>97</v>
      </c>
      <c r="B17" s="104"/>
      <c r="C17" s="59">
        <f>IFERROR(VLOOKUP(A17,' سهام'!$A$11:$M$32,12,0),0)</f>
        <v>0</v>
      </c>
      <c r="D17" s="104"/>
      <c r="E17" s="59">
        <f>IFERROR(VLOOKUP(A17,' سهام'!$A$11:$M$32,13,0),0)</f>
        <v>0</v>
      </c>
      <c r="F17" s="49"/>
      <c r="G17" s="51">
        <v>0</v>
      </c>
      <c r="H17" s="49"/>
      <c r="I17" s="51">
        <f t="shared" si="0"/>
        <v>0</v>
      </c>
      <c r="J17" s="2"/>
      <c r="K17" s="51">
        <v>162031</v>
      </c>
      <c r="L17" s="29"/>
      <c r="M17" s="51">
        <v>2827021997</v>
      </c>
      <c r="N17" s="29"/>
      <c r="O17" s="51">
        <v>3053828722</v>
      </c>
      <c r="P17" s="29"/>
      <c r="Q17" s="51">
        <f t="shared" si="1"/>
        <v>-226806725</v>
      </c>
      <c r="R17" s="87"/>
      <c r="T17" s="87"/>
      <c r="U17" s="87"/>
      <c r="X17" s="87"/>
      <c r="Y17" s="87"/>
    </row>
    <row r="18" spans="1:25" ht="21.75">
      <c r="A18" s="83" t="s">
        <v>100</v>
      </c>
      <c r="B18" s="104"/>
      <c r="C18" s="59">
        <f>IFERROR(VLOOKUP(A18,' سهام'!$A$11:$M$32,12,0),0)</f>
        <v>0</v>
      </c>
      <c r="D18" s="104"/>
      <c r="E18" s="59">
        <f>IFERROR(VLOOKUP(A18,' سهام'!$A$11:$M$32,13,0),0)</f>
        <v>0</v>
      </c>
      <c r="F18" s="49"/>
      <c r="G18" s="51">
        <v>0</v>
      </c>
      <c r="H18" s="49"/>
      <c r="I18" s="51">
        <f t="shared" si="0"/>
        <v>0</v>
      </c>
      <c r="J18" s="2"/>
      <c r="K18" s="51">
        <v>28227</v>
      </c>
      <c r="L18" s="29"/>
      <c r="M18" s="51">
        <v>455937336</v>
      </c>
      <c r="N18" s="29"/>
      <c r="O18" s="51">
        <v>412833125</v>
      </c>
      <c r="P18" s="29"/>
      <c r="Q18" s="51">
        <f t="shared" si="1"/>
        <v>43104211</v>
      </c>
      <c r="R18" s="87"/>
      <c r="T18" s="87"/>
      <c r="U18" s="87"/>
      <c r="X18" s="87"/>
      <c r="Y18" s="87"/>
    </row>
    <row r="19" spans="1:25" ht="21.75">
      <c r="A19" s="83" t="s">
        <v>96</v>
      </c>
      <c r="B19" s="104"/>
      <c r="C19" s="59">
        <f>IFERROR(VLOOKUP(A19,' سهام'!$A$11:$M$32,12,0),0)</f>
        <v>0</v>
      </c>
      <c r="D19" s="104"/>
      <c r="E19" s="59">
        <f>IFERROR(VLOOKUP(A19,' سهام'!$A$11:$M$32,13,0),0)</f>
        <v>0</v>
      </c>
      <c r="F19" s="49"/>
      <c r="G19" s="51">
        <v>0</v>
      </c>
      <c r="H19" s="49"/>
      <c r="I19" s="51">
        <f t="shared" si="0"/>
        <v>0</v>
      </c>
      <c r="J19" s="2"/>
      <c r="K19" s="51">
        <v>550039</v>
      </c>
      <c r="L19" s="29"/>
      <c r="M19" s="51">
        <v>12354115059</v>
      </c>
      <c r="N19" s="29"/>
      <c r="O19" s="51">
        <v>11186837847</v>
      </c>
      <c r="P19" s="29"/>
      <c r="Q19" s="51">
        <f t="shared" si="1"/>
        <v>1167277212</v>
      </c>
      <c r="R19" s="87"/>
      <c r="X19" s="87"/>
      <c r="Y19" s="87"/>
    </row>
    <row r="20" spans="1:25" ht="21.75">
      <c r="A20" s="83" t="s">
        <v>125</v>
      </c>
      <c r="B20" s="104"/>
      <c r="C20" s="59">
        <f>IFERROR(VLOOKUP(A20,' سهام'!$A$11:$M$32,12,0),0)</f>
        <v>0</v>
      </c>
      <c r="D20" s="104"/>
      <c r="E20" s="59">
        <f>IFERROR(VLOOKUP(A20,' سهام'!$A$11:$M$32,13,0),0)</f>
        <v>0</v>
      </c>
      <c r="F20" s="49"/>
      <c r="G20" s="51">
        <v>0</v>
      </c>
      <c r="H20" s="49"/>
      <c r="I20" s="51">
        <f t="shared" si="0"/>
        <v>0</v>
      </c>
      <c r="J20" s="2"/>
      <c r="K20" s="51">
        <v>84151</v>
      </c>
      <c r="L20" s="29"/>
      <c r="M20" s="51">
        <v>279454533</v>
      </c>
      <c r="N20" s="29"/>
      <c r="O20" s="51">
        <v>256806425</v>
      </c>
      <c r="P20" s="29"/>
      <c r="Q20" s="51">
        <f t="shared" si="1"/>
        <v>22648108</v>
      </c>
      <c r="R20" s="87"/>
      <c r="X20" s="87"/>
      <c r="Y20" s="87"/>
    </row>
    <row r="21" spans="1:25" ht="21.75">
      <c r="A21" s="83" t="s">
        <v>110</v>
      </c>
      <c r="B21" s="104"/>
      <c r="C21" s="59">
        <f>IFERROR(VLOOKUP(A21,' سهام'!$A$11:$M$32,12,0),0)</f>
        <v>0</v>
      </c>
      <c r="D21" s="104"/>
      <c r="E21" s="59">
        <f>IFERROR(VLOOKUP(A21,' سهام'!$A$11:$M$32,13,0),0)</f>
        <v>0</v>
      </c>
      <c r="F21" s="49"/>
      <c r="G21" s="51">
        <v>0</v>
      </c>
      <c r="H21" s="49"/>
      <c r="I21" s="51">
        <f t="shared" si="0"/>
        <v>0</v>
      </c>
      <c r="J21" s="2"/>
      <c r="K21" s="51">
        <v>397342</v>
      </c>
      <c r="L21" s="29"/>
      <c r="M21" s="51">
        <v>5619181440</v>
      </c>
      <c r="N21" s="29"/>
      <c r="O21" s="51">
        <v>5383547622</v>
      </c>
      <c r="P21" s="29"/>
      <c r="Q21" s="51">
        <f t="shared" si="1"/>
        <v>235633818</v>
      </c>
      <c r="R21" s="87"/>
      <c r="X21" s="87"/>
      <c r="Y21" s="87"/>
    </row>
    <row r="22" spans="1:25" ht="21.75">
      <c r="A22" s="83" t="s">
        <v>112</v>
      </c>
      <c r="B22" s="104"/>
      <c r="C22" s="59">
        <f>IFERROR(VLOOKUP(A22,' سهام'!$A$11:$M$32,12,0),0)</f>
        <v>0</v>
      </c>
      <c r="D22" s="104"/>
      <c r="E22" s="59">
        <f>IFERROR(VLOOKUP(A22,' سهام'!$A$11:$M$32,13,0),0)</f>
        <v>0</v>
      </c>
      <c r="F22" s="49"/>
      <c r="G22" s="51">
        <v>0</v>
      </c>
      <c r="H22" s="49"/>
      <c r="I22" s="51">
        <f t="shared" si="0"/>
        <v>0</v>
      </c>
      <c r="J22" s="2"/>
      <c r="K22" s="51">
        <v>129873</v>
      </c>
      <c r="L22" s="29"/>
      <c r="M22" s="51">
        <v>2118824816</v>
      </c>
      <c r="N22" s="29"/>
      <c r="O22" s="51">
        <v>1875826717</v>
      </c>
      <c r="P22" s="29"/>
      <c r="Q22" s="51">
        <f t="shared" si="1"/>
        <v>242998099</v>
      </c>
      <c r="R22" s="87"/>
      <c r="X22" s="87"/>
      <c r="Y22" s="87"/>
    </row>
    <row r="23" spans="1:25" ht="21.75">
      <c r="A23" s="83" t="s">
        <v>109</v>
      </c>
      <c r="B23" s="104"/>
      <c r="C23" s="59">
        <f>IFERROR(VLOOKUP(A23,' سهام'!$A$11:$M$32,12,0),0)</f>
        <v>0</v>
      </c>
      <c r="D23" s="104"/>
      <c r="E23" s="59">
        <f>IFERROR(VLOOKUP(A23,' سهام'!$A$11:$M$32,13,0),0)</f>
        <v>0</v>
      </c>
      <c r="F23" s="49"/>
      <c r="G23" s="51">
        <v>0</v>
      </c>
      <c r="H23" s="49"/>
      <c r="I23" s="51">
        <f t="shared" si="0"/>
        <v>0</v>
      </c>
      <c r="J23" s="2"/>
      <c r="K23" s="51">
        <v>14800000</v>
      </c>
      <c r="L23" s="29"/>
      <c r="M23" s="51">
        <v>76022957342</v>
      </c>
      <c r="N23" s="29"/>
      <c r="O23" s="51">
        <v>71191077796</v>
      </c>
      <c r="P23" s="29"/>
      <c r="Q23" s="51">
        <f t="shared" si="1"/>
        <v>4831879546</v>
      </c>
      <c r="R23" s="87"/>
      <c r="T23" s="87"/>
      <c r="X23" s="87"/>
      <c r="Y23" s="87"/>
    </row>
    <row r="24" spans="1:25" ht="21.75">
      <c r="A24" s="83" t="s">
        <v>115</v>
      </c>
      <c r="B24" s="104"/>
      <c r="C24" s="59">
        <f>IFERROR(VLOOKUP(A24,' سهام'!$A$11:$M$32,12,0),0)</f>
        <v>0</v>
      </c>
      <c r="D24" s="104"/>
      <c r="E24" s="59">
        <f>IFERROR(VLOOKUP(A24,' سهام'!$A$11:$M$32,13,0),0)</f>
        <v>0</v>
      </c>
      <c r="F24" s="49"/>
      <c r="G24" s="51">
        <v>0</v>
      </c>
      <c r="H24" s="49"/>
      <c r="I24" s="51">
        <f t="shared" si="0"/>
        <v>0</v>
      </c>
      <c r="J24" s="2"/>
      <c r="K24" s="51">
        <v>4559</v>
      </c>
      <c r="L24" s="29"/>
      <c r="M24" s="51">
        <v>111655142</v>
      </c>
      <c r="N24" s="29"/>
      <c r="O24" s="51">
        <v>119550839</v>
      </c>
      <c r="P24" s="29"/>
      <c r="Q24" s="51">
        <f t="shared" si="1"/>
        <v>-7895697</v>
      </c>
      <c r="R24" s="87"/>
      <c r="X24" s="87"/>
      <c r="Y24" s="87"/>
    </row>
    <row r="25" spans="1:25" ht="21.75">
      <c r="A25" s="83" t="s">
        <v>113</v>
      </c>
      <c r="B25" s="104"/>
      <c r="C25" s="59">
        <f>IFERROR(VLOOKUP(A25,' سهام'!$A$11:$M$32,12,0),0)</f>
        <v>0</v>
      </c>
      <c r="D25" s="104"/>
      <c r="E25" s="59">
        <f>IFERROR(VLOOKUP(A25,' سهام'!$A$11:$M$32,13,0),0)</f>
        <v>0</v>
      </c>
      <c r="F25" s="49"/>
      <c r="G25" s="51">
        <v>0</v>
      </c>
      <c r="H25" s="49"/>
      <c r="I25" s="51">
        <f t="shared" si="0"/>
        <v>0</v>
      </c>
      <c r="J25" s="2"/>
      <c r="K25" s="51">
        <v>7881</v>
      </c>
      <c r="L25" s="29"/>
      <c r="M25" s="51">
        <v>722013777</v>
      </c>
      <c r="N25" s="29"/>
      <c r="O25" s="51">
        <v>627198694</v>
      </c>
      <c r="P25" s="29"/>
      <c r="Q25" s="51">
        <f t="shared" si="1"/>
        <v>94815083</v>
      </c>
      <c r="R25" s="87"/>
      <c r="X25" s="87"/>
      <c r="Y25" s="87"/>
    </row>
    <row r="26" spans="1:25" ht="21.75">
      <c r="A26" s="83" t="s">
        <v>108</v>
      </c>
      <c r="B26" s="104"/>
      <c r="C26" s="59">
        <f>IFERROR(VLOOKUP(A26,' سهام'!$A$11:$M$32,12,0),0)</f>
        <v>0</v>
      </c>
      <c r="D26" s="104"/>
      <c r="E26" s="59">
        <f>IFERROR(VLOOKUP(A26,' سهام'!$A$11:$M$32,13,0),0)</f>
        <v>0</v>
      </c>
      <c r="F26" s="49"/>
      <c r="G26" s="51">
        <v>0</v>
      </c>
      <c r="H26" s="49"/>
      <c r="I26" s="51">
        <f t="shared" si="0"/>
        <v>0</v>
      </c>
      <c r="J26" s="2"/>
      <c r="K26" s="51">
        <v>18903</v>
      </c>
      <c r="L26" s="29"/>
      <c r="M26" s="51">
        <v>591514584</v>
      </c>
      <c r="N26" s="29"/>
      <c r="O26" s="51">
        <v>522472852</v>
      </c>
      <c r="P26" s="29"/>
      <c r="Q26" s="51">
        <f t="shared" si="1"/>
        <v>69041732</v>
      </c>
      <c r="R26" s="87"/>
      <c r="X26" s="87"/>
      <c r="Y26" s="87"/>
    </row>
    <row r="27" spans="1:25" ht="21.75">
      <c r="A27" s="83" t="s">
        <v>116</v>
      </c>
      <c r="B27" s="104"/>
      <c r="C27" s="59">
        <f>IFERROR(VLOOKUP(A27,' سهام'!$A$11:$M$32,12,0),0)</f>
        <v>0</v>
      </c>
      <c r="D27" s="104"/>
      <c r="E27" s="59">
        <f>IFERROR(VLOOKUP(A27,' سهام'!$A$11:$M$32,13,0),0)</f>
        <v>0</v>
      </c>
      <c r="F27" s="49"/>
      <c r="G27" s="51">
        <v>0</v>
      </c>
      <c r="H27" s="49"/>
      <c r="I27" s="51">
        <f t="shared" si="0"/>
        <v>0</v>
      </c>
      <c r="J27" s="2"/>
      <c r="K27" s="51">
        <v>5650000</v>
      </c>
      <c r="L27" s="29"/>
      <c r="M27" s="51">
        <v>30879904020</v>
      </c>
      <c r="N27" s="29"/>
      <c r="O27" s="51">
        <v>30272301675</v>
      </c>
      <c r="P27" s="29"/>
      <c r="Q27" s="51">
        <f t="shared" si="1"/>
        <v>607602345</v>
      </c>
      <c r="R27" s="87"/>
      <c r="X27" s="87"/>
      <c r="Y27" s="87"/>
    </row>
    <row r="28" spans="1:25" ht="21.75">
      <c r="A28" s="83" t="s">
        <v>123</v>
      </c>
      <c r="B28" s="104"/>
      <c r="C28" s="59">
        <f>IFERROR(VLOOKUP(A28,' سهام'!$A$11:$M$32,12,0),0)</f>
        <v>0</v>
      </c>
      <c r="D28" s="104"/>
      <c r="E28" s="59">
        <f>IFERROR(VLOOKUP(A28,' سهام'!$A$11:$M$32,13,0),0)</f>
        <v>0</v>
      </c>
      <c r="F28" s="49"/>
      <c r="G28" s="51">
        <v>0</v>
      </c>
      <c r="H28" s="49"/>
      <c r="I28" s="51">
        <f t="shared" si="0"/>
        <v>0</v>
      </c>
      <c r="J28" s="2"/>
      <c r="K28" s="51">
        <v>20919</v>
      </c>
      <c r="L28" s="29"/>
      <c r="M28" s="51">
        <v>168046888</v>
      </c>
      <c r="N28" s="29"/>
      <c r="O28" s="51">
        <v>171390327</v>
      </c>
      <c r="P28" s="29"/>
      <c r="Q28" s="51">
        <f t="shared" si="1"/>
        <v>-3343439</v>
      </c>
      <c r="R28" s="87"/>
      <c r="X28" s="87"/>
      <c r="Y28" s="87"/>
    </row>
    <row r="29" spans="1:25" ht="21.75">
      <c r="A29" s="83" t="s">
        <v>137</v>
      </c>
      <c r="B29" s="104"/>
      <c r="C29" s="59">
        <f>IFERROR(VLOOKUP(A29,' سهام'!$A$11:$M$32,12,0),0)</f>
        <v>0</v>
      </c>
      <c r="D29" s="104"/>
      <c r="E29" s="59">
        <f>IFERROR(VLOOKUP(A29,' سهام'!$A$11:$M$32,13,0),0)</f>
        <v>0</v>
      </c>
      <c r="F29" s="49"/>
      <c r="G29" s="51">
        <v>0</v>
      </c>
      <c r="H29" s="49"/>
      <c r="I29" s="51">
        <f t="shared" si="0"/>
        <v>0</v>
      </c>
      <c r="J29" s="2"/>
      <c r="K29" s="51">
        <v>7327</v>
      </c>
      <c r="L29" s="29"/>
      <c r="M29" s="51">
        <v>97395723</v>
      </c>
      <c r="N29" s="29"/>
      <c r="O29" s="51">
        <v>98135747</v>
      </c>
      <c r="P29" s="29"/>
      <c r="Q29" s="51">
        <f t="shared" si="1"/>
        <v>-740024</v>
      </c>
      <c r="R29" s="87"/>
      <c r="X29" s="87"/>
      <c r="Y29" s="87"/>
    </row>
    <row r="30" spans="1:25" ht="21.75">
      <c r="A30" s="83" t="s">
        <v>141</v>
      </c>
      <c r="B30" s="104"/>
      <c r="C30" s="59">
        <f>IFERROR(VLOOKUP(A30,' سهام'!$A$11:$M$32,12,0),0)</f>
        <v>0</v>
      </c>
      <c r="D30" s="104"/>
      <c r="E30" s="59">
        <f>IFERROR(VLOOKUP(A30,' سهام'!$A$11:$M$32,13,0),0)</f>
        <v>0</v>
      </c>
      <c r="F30" s="49"/>
      <c r="G30" s="51">
        <v>0</v>
      </c>
      <c r="H30" s="49"/>
      <c r="I30" s="51">
        <f t="shared" si="0"/>
        <v>0</v>
      </c>
      <c r="J30" s="2"/>
      <c r="K30" s="51">
        <v>830000</v>
      </c>
      <c r="L30" s="29"/>
      <c r="M30" s="51">
        <v>981823222</v>
      </c>
      <c r="N30" s="29"/>
      <c r="O30" s="51">
        <v>1000243989</v>
      </c>
      <c r="P30" s="29"/>
      <c r="Q30" s="51">
        <f t="shared" si="1"/>
        <v>-18420767</v>
      </c>
      <c r="R30" s="87"/>
      <c r="X30" s="87"/>
      <c r="Y30" s="87"/>
    </row>
    <row r="31" spans="1:25" ht="21.75">
      <c r="A31" s="83" t="s">
        <v>143</v>
      </c>
      <c r="B31" s="104"/>
      <c r="C31" s="59">
        <f>IFERROR(VLOOKUP(A31,' سهام'!$A$11:$M$32,12,0),0)</f>
        <v>0</v>
      </c>
      <c r="D31" s="104"/>
      <c r="E31" s="59">
        <f>IFERROR(VLOOKUP(A31,' سهام'!$A$11:$M$32,13,0),0)</f>
        <v>0</v>
      </c>
      <c r="F31" s="49"/>
      <c r="G31" s="51">
        <v>0</v>
      </c>
      <c r="H31" s="49"/>
      <c r="I31" s="51">
        <f t="shared" si="0"/>
        <v>0</v>
      </c>
      <c r="J31" s="2"/>
      <c r="K31" s="51">
        <v>200000</v>
      </c>
      <c r="L31" s="29"/>
      <c r="M31" s="51">
        <v>2401624842</v>
      </c>
      <c r="N31" s="29"/>
      <c r="O31" s="51">
        <v>1691534520</v>
      </c>
      <c r="P31" s="29"/>
      <c r="Q31" s="51">
        <f t="shared" si="1"/>
        <v>710090322</v>
      </c>
      <c r="R31" s="87"/>
      <c r="X31" s="87"/>
      <c r="Y31" s="87"/>
    </row>
    <row r="32" spans="1:25" ht="21.75">
      <c r="A32" s="83" t="s">
        <v>139</v>
      </c>
      <c r="B32" s="104"/>
      <c r="C32" s="59">
        <f>IFERROR(VLOOKUP(A32,' سهام'!$A$11:$M$32,12,0),0)</f>
        <v>300000</v>
      </c>
      <c r="D32" s="104"/>
      <c r="E32" s="59">
        <f>IFERROR(VLOOKUP(A32,' سهام'!$A$11:$M$32,13,0),0)</f>
        <v>8938678504</v>
      </c>
      <c r="F32" s="49"/>
      <c r="G32" s="51">
        <v>6205629600</v>
      </c>
      <c r="H32" s="49"/>
      <c r="I32" s="51">
        <f t="shared" si="0"/>
        <v>2733048904</v>
      </c>
      <c r="J32" s="2"/>
      <c r="K32" s="51">
        <v>300000</v>
      </c>
      <c r="L32" s="29"/>
      <c r="M32" s="51">
        <v>8938678504</v>
      </c>
      <c r="N32" s="29"/>
      <c r="O32" s="51">
        <v>6205629600</v>
      </c>
      <c r="P32" s="29"/>
      <c r="Q32" s="51">
        <f t="shared" si="1"/>
        <v>2733048904</v>
      </c>
      <c r="R32" s="87"/>
      <c r="S32" s="87"/>
      <c r="T32" s="87"/>
      <c r="U32" s="87"/>
      <c r="X32" s="87"/>
      <c r="Y32" s="87"/>
    </row>
    <row r="33" spans="1:25" ht="21.75">
      <c r="A33" s="83" t="s">
        <v>142</v>
      </c>
      <c r="B33" s="104"/>
      <c r="C33" s="59">
        <f>IFERROR(VLOOKUP(A33,' سهام'!$A$11:$M$32,12,0),0)</f>
        <v>114500</v>
      </c>
      <c r="D33" s="104"/>
      <c r="E33" s="59">
        <f>IFERROR(VLOOKUP(A33,' سهام'!$A$11:$M$32,13,0),0)</f>
        <v>9197157308</v>
      </c>
      <c r="F33" s="49"/>
      <c r="G33" s="51">
        <v>7563861753</v>
      </c>
      <c r="H33" s="49"/>
      <c r="I33" s="51">
        <f>E33-G33</f>
        <v>1633295555</v>
      </c>
      <c r="J33" s="2"/>
      <c r="K33" s="51">
        <v>114500</v>
      </c>
      <c r="L33" s="29"/>
      <c r="M33" s="51">
        <v>9197157308</v>
      </c>
      <c r="N33" s="29"/>
      <c r="O33" s="51">
        <v>7563861753</v>
      </c>
      <c r="P33" s="29"/>
      <c r="Q33" s="51">
        <f t="shared" si="1"/>
        <v>1633295555</v>
      </c>
      <c r="R33" s="87"/>
      <c r="T33" s="87"/>
      <c r="U33" s="87"/>
      <c r="X33" s="87"/>
      <c r="Y33" s="87"/>
    </row>
    <row r="34" spans="1:25" ht="21.75">
      <c r="A34" s="83" t="s">
        <v>124</v>
      </c>
      <c r="B34" s="104"/>
      <c r="C34" s="59">
        <f>IFERROR(VLOOKUP(A34,' سهام'!$A$11:$M$32,12,0),0)</f>
        <v>0</v>
      </c>
      <c r="D34" s="104"/>
      <c r="E34" s="59">
        <f>IFERROR(VLOOKUP(A34,' سهام'!$A$11:$M$32,13,0),0)</f>
        <v>0</v>
      </c>
      <c r="F34" s="49"/>
      <c r="G34" s="51">
        <v>0</v>
      </c>
      <c r="H34" s="49"/>
      <c r="I34" s="51">
        <f>E34-G34</f>
        <v>0</v>
      </c>
      <c r="J34" s="2"/>
      <c r="K34" s="51">
        <v>29443</v>
      </c>
      <c r="L34" s="29"/>
      <c r="M34" s="51">
        <v>194822669</v>
      </c>
      <c r="N34" s="29"/>
      <c r="O34" s="51">
        <v>320949162</v>
      </c>
      <c r="P34" s="29"/>
      <c r="Q34" s="51">
        <f t="shared" si="1"/>
        <v>-126126493</v>
      </c>
      <c r="R34" s="87"/>
      <c r="T34" s="87"/>
      <c r="U34" s="87"/>
      <c r="X34" s="87"/>
      <c r="Y34" s="87"/>
    </row>
    <row r="35" spans="1:25" ht="22.5" thickBot="1">
      <c r="A35" s="59" t="s">
        <v>2</v>
      </c>
      <c r="B35" s="59"/>
      <c r="C35" s="59"/>
      <c r="E35" s="220">
        <f>SUM(E8:E34)</f>
        <v>18135835812</v>
      </c>
      <c r="F35" s="16"/>
      <c r="G35" s="162">
        <f>SUM(G8:G34)</f>
        <v>13769491353</v>
      </c>
      <c r="H35" s="16"/>
      <c r="I35" s="162">
        <f>SUM(I8:I34)</f>
        <v>4366344459</v>
      </c>
      <c r="J35" s="156"/>
      <c r="K35" s="51"/>
      <c r="L35" s="163"/>
      <c r="M35" s="162">
        <f>SUM(M8:M34)</f>
        <v>202518109000</v>
      </c>
      <c r="N35" s="16"/>
      <c r="O35" s="162">
        <f>SUM(O8:O34)</f>
        <v>189432866448</v>
      </c>
      <c r="P35" s="164"/>
      <c r="Q35" s="162">
        <f>SUM(Q8:Q34)</f>
        <v>13085242552</v>
      </c>
    </row>
    <row r="36" spans="1:25" ht="23.25" thickTop="1">
      <c r="E36" s="52"/>
      <c r="F36" s="83"/>
      <c r="G36" s="52"/>
      <c r="H36" s="52"/>
      <c r="I36" s="52"/>
      <c r="J36" s="83"/>
      <c r="K36" s="83"/>
      <c r="L36" s="83"/>
      <c r="M36" s="54"/>
      <c r="N36" s="83"/>
      <c r="O36" s="54"/>
      <c r="P36" s="83"/>
      <c r="Q36" s="54"/>
    </row>
    <row r="37" spans="1:25" ht="22.5">
      <c r="E37" s="52"/>
      <c r="F37" s="83"/>
      <c r="G37" s="52"/>
      <c r="H37" s="83"/>
      <c r="I37" s="52"/>
      <c r="J37" s="83"/>
      <c r="K37" s="83"/>
      <c r="L37" s="83"/>
      <c r="M37" s="52"/>
      <c r="N37" s="83"/>
      <c r="O37" s="52"/>
      <c r="P37" s="83"/>
      <c r="Q37" s="52"/>
    </row>
    <row r="38" spans="1:25" ht="10.5" customHeight="1">
      <c r="A38" s="81"/>
      <c r="B38" s="81"/>
      <c r="C38" s="81"/>
      <c r="D38" s="81"/>
      <c r="E38" s="47"/>
      <c r="F38" s="47"/>
      <c r="G38" s="47"/>
      <c r="H38" s="47"/>
      <c r="I38" s="2"/>
      <c r="J38" s="2"/>
      <c r="K38" s="2"/>
      <c r="L38" s="2"/>
      <c r="M38" s="2"/>
      <c r="N38" s="2"/>
      <c r="O38" s="2"/>
      <c r="P38" s="2"/>
      <c r="Q38" s="2"/>
    </row>
    <row r="39" spans="1:25" ht="21.75">
      <c r="A39" s="306" t="s">
        <v>45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8"/>
    </row>
    <row r="40" spans="1:25" ht="6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25" s="35" customFormat="1" ht="18" customHeight="1"/>
    <row r="42" spans="1:25" s="35" customFormat="1" ht="24"/>
    <row r="43" spans="1:25" s="35" customFormat="1" ht="24"/>
    <row r="44" spans="1:25" s="35" customFormat="1" ht="18" customHeight="1"/>
    <row r="45" spans="1:25" s="35" customFormat="1" ht="24"/>
    <row r="46" spans="1:25" s="35" customFormat="1" ht="24"/>
    <row r="47" spans="1:25" s="35" customFormat="1" ht="24"/>
    <row r="48" spans="1:25" s="35" customFormat="1" ht="24">
      <c r="E48" s="168"/>
    </row>
    <row r="49" spans="5:20" s="35" customFormat="1" ht="24">
      <c r="E49" s="168"/>
      <c r="R49" s="67"/>
    </row>
    <row r="50" spans="5:20" s="35" customFormat="1" ht="24">
      <c r="R50" s="67"/>
      <c r="T50" s="168"/>
    </row>
    <row r="51" spans="5:20" s="35" customFormat="1" ht="24">
      <c r="R51" s="67"/>
      <c r="T51" s="168"/>
    </row>
    <row r="52" spans="5:20" ht="24">
      <c r="E52" s="83"/>
      <c r="F52" s="83"/>
      <c r="G52" s="83"/>
      <c r="H52" s="83"/>
      <c r="I52" s="35"/>
      <c r="J52" s="83"/>
      <c r="K52" s="83"/>
      <c r="L52" s="83"/>
      <c r="M52" s="83"/>
      <c r="N52" s="83"/>
      <c r="O52" s="83"/>
      <c r="P52" s="83"/>
      <c r="Q52" s="168"/>
      <c r="R52" s="67"/>
      <c r="T52" s="168"/>
    </row>
    <row r="53" spans="5:20" ht="24">
      <c r="I53" s="35"/>
      <c r="Q53" s="168"/>
      <c r="R53" s="67"/>
    </row>
    <row r="54" spans="5:20">
      <c r="I54" s="168"/>
      <c r="Q54" s="168"/>
      <c r="R54" s="108"/>
      <c r="T54" s="108"/>
    </row>
    <row r="55" spans="5:20" ht="24">
      <c r="I55" s="168"/>
      <c r="Q55" s="35"/>
      <c r="R55" s="167"/>
    </row>
    <row r="56" spans="5:20" ht="24">
      <c r="I56" s="35"/>
    </row>
    <row r="57" spans="5:20" ht="24">
      <c r="I57" s="35"/>
    </row>
    <row r="58" spans="5:20" ht="24">
      <c r="I58" s="35"/>
    </row>
    <row r="59" spans="5:20" ht="24">
      <c r="I59" s="35"/>
    </row>
    <row r="60" spans="5:20" ht="24">
      <c r="I60" s="35"/>
    </row>
    <row r="61" spans="5:20" ht="24">
      <c r="I61" s="35"/>
    </row>
    <row r="62" spans="5:20" ht="24">
      <c r="I62" s="35"/>
    </row>
    <row r="63" spans="5:20" ht="24">
      <c r="I63" s="35"/>
    </row>
    <row r="64" spans="5:20" ht="24">
      <c r="I64" s="35"/>
    </row>
  </sheetData>
  <autoFilter ref="A7:Q7" xr:uid="{00000000-0009-0000-0000-000007000000}">
    <sortState xmlns:xlrd2="http://schemas.microsoft.com/office/spreadsheetml/2017/richdata2" ref="A8:Q21">
      <sortCondition ref="A7"/>
    </sortState>
  </autoFilter>
  <sortState xmlns:xlrd2="http://schemas.microsoft.com/office/spreadsheetml/2017/richdata2" ref="T8:U48">
    <sortCondition descending="1" ref="T7:T48"/>
  </sortState>
  <mergeCells count="8">
    <mergeCell ref="A1:Q1"/>
    <mergeCell ref="A2:Q2"/>
    <mergeCell ref="A3:Q3"/>
    <mergeCell ref="A39:Q39"/>
    <mergeCell ref="C6:I6"/>
    <mergeCell ref="K6:Q6"/>
    <mergeCell ref="A5:I5"/>
    <mergeCell ref="J5:Q5"/>
  </mergeCells>
  <printOptions horizontalCentered="1"/>
  <pageMargins left="0.25" right="0.25" top="0.75" bottom="0.75" header="0.3" footer="0.3"/>
  <pageSetup paperSize="9" scale="67" fitToHeight="0" orientation="landscape" r:id="rId1"/>
  <rowBreaks count="1" manualBreakCount="1">
    <brk id="40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Y54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21.75"/>
  <cols>
    <col min="1" max="1" width="33.5703125" style="83" customWidth="1"/>
    <col min="2" max="2" width="0.5703125" style="83" customWidth="1"/>
    <col min="3" max="3" width="20.28515625" style="2" bestFit="1" customWidth="1"/>
    <col min="4" max="4" width="0.85546875" style="2" customWidth="1"/>
    <col min="5" max="5" width="25.7109375" style="2" bestFit="1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10" style="83" customWidth="1"/>
    <col min="19" max="19" width="17" style="83" bestFit="1" customWidth="1"/>
    <col min="20" max="20" width="13.140625" style="83" customWidth="1"/>
    <col min="21" max="21" width="15.5703125" style="17" bestFit="1" customWidth="1"/>
    <col min="22" max="22" width="14.42578125" style="83" bestFit="1" customWidth="1"/>
    <col min="23" max="23" width="13" style="83" bestFit="1" customWidth="1"/>
    <col min="24" max="24" width="13.140625" style="83" bestFit="1" customWidth="1"/>
    <col min="25" max="25" width="14.28515625" style="83" bestFit="1" customWidth="1"/>
    <col min="26" max="16384" width="9.140625" style="83"/>
  </cols>
  <sheetData>
    <row r="1" spans="1:25" ht="22.5">
      <c r="A1" s="303" t="s">
        <v>94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25" ht="22.5">
      <c r="A2" s="303" t="s">
        <v>57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1:25" ht="22.5">
      <c r="A3" s="303" t="str">
        <f>' سهام'!A3:W3</f>
        <v>برای ماه منتهی به 1402/12/29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</row>
    <row r="4" spans="1:25" ht="12.75" customHeight="1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25">
      <c r="A5" s="288" t="s">
        <v>64</v>
      </c>
      <c r="B5" s="288"/>
      <c r="C5" s="288"/>
      <c r="D5" s="288"/>
      <c r="E5" s="288"/>
      <c r="F5" s="288"/>
      <c r="G5" s="288"/>
      <c r="H5" s="288"/>
    </row>
    <row r="6" spans="1:25" ht="21" customHeight="1">
      <c r="A6" s="70"/>
      <c r="B6" s="70"/>
      <c r="C6" s="313" t="str" cm="1">
        <f t="array" ref="C6:G6">'سود اوراق بهادار و سپرده بانکی'!H6:L6</f>
        <v>طی اسفند ماه</v>
      </c>
      <c r="D6" s="313">
        <v>0</v>
      </c>
      <c r="E6" s="313">
        <v>0</v>
      </c>
      <c r="F6" s="313">
        <v>0</v>
      </c>
      <c r="G6" s="313">
        <v>0</v>
      </c>
      <c r="H6" s="313"/>
      <c r="I6" s="313"/>
      <c r="K6" s="313" t="str" cm="1">
        <f t="array" ref="K6:O6">'سود اوراق بهادار و سپرده بانکی'!N6:R6</f>
        <v>از ابتدای سال مالی تا پایان اسفند ماه</v>
      </c>
      <c r="L6" s="313">
        <v>0</v>
      </c>
      <c r="M6" s="313">
        <v>0</v>
      </c>
      <c r="N6" s="313">
        <v>0</v>
      </c>
      <c r="O6" s="313">
        <v>0</v>
      </c>
      <c r="P6" s="313"/>
      <c r="Q6" s="313"/>
    </row>
    <row r="7" spans="1:25" ht="27" customHeight="1" thickBot="1">
      <c r="A7" s="84" t="s">
        <v>38</v>
      </c>
      <c r="B7" s="84"/>
      <c r="C7" s="28" t="s">
        <v>3</v>
      </c>
      <c r="D7" s="29"/>
      <c r="E7" s="30" t="s">
        <v>21</v>
      </c>
      <c r="F7" s="29"/>
      <c r="G7" s="28" t="s">
        <v>43</v>
      </c>
      <c r="H7" s="29"/>
      <c r="I7" s="31" t="s">
        <v>44</v>
      </c>
      <c r="K7" s="28" t="s">
        <v>3</v>
      </c>
      <c r="L7" s="29"/>
      <c r="M7" s="30" t="s">
        <v>21</v>
      </c>
      <c r="N7" s="29"/>
      <c r="O7" s="28" t="s">
        <v>43</v>
      </c>
      <c r="P7" s="29"/>
      <c r="Q7" s="31" t="s">
        <v>44</v>
      </c>
    </row>
    <row r="8" spans="1:25">
      <c r="A8" s="109" t="s">
        <v>126</v>
      </c>
      <c r="C8" s="16">
        <f>IFERROR(VLOOKUP(A8,اوراق!$A$10:$AE$14,25,0),0)</f>
        <v>15220</v>
      </c>
      <c r="D8" s="16"/>
      <c r="E8" s="16">
        <f>IFERROR(VLOOKUP(A8,اوراق!$A$10:$AE$14,31,0),0)</f>
        <v>10290811655</v>
      </c>
      <c r="F8" s="16" t="s">
        <v>136</v>
      </c>
      <c r="G8" s="51">
        <v>10325354792</v>
      </c>
      <c r="H8" s="16"/>
      <c r="I8" s="16">
        <f>E8-G8</f>
        <v>-34543137</v>
      </c>
      <c r="J8" s="16"/>
      <c r="K8" s="16">
        <f>IFERROR(VLOOKUP(A8,اوراق!$A$10:$AE$14,25,0),0)</f>
        <v>15220</v>
      </c>
      <c r="L8" s="16"/>
      <c r="M8" s="16">
        <f>IFERROR(VLOOKUP(A8,اوراق!$A$10:$AE$14,31,0),0)</f>
        <v>10290811655</v>
      </c>
      <c r="N8" s="16"/>
      <c r="O8" s="51">
        <v>10260017426</v>
      </c>
      <c r="P8" s="16"/>
      <c r="Q8" s="16">
        <f>M8-O8</f>
        <v>30794229</v>
      </c>
      <c r="R8" s="87"/>
      <c r="S8" s="165"/>
      <c r="T8" s="87"/>
      <c r="V8" s="17"/>
      <c r="W8" s="87"/>
      <c r="X8" s="87"/>
      <c r="Y8" s="87"/>
    </row>
    <row r="9" spans="1:25">
      <c r="A9" s="109" t="s">
        <v>127</v>
      </c>
      <c r="C9" s="16">
        <f>IFERROR(VLOOKUP(A9,اوراق!$A$10:$AE$14,25,0),0)</f>
        <v>29100</v>
      </c>
      <c r="D9" s="16"/>
      <c r="E9" s="16">
        <f>IFERROR(VLOOKUP(A9,اوراق!$A$10:$AE$14,31,0),0)</f>
        <v>18853382205</v>
      </c>
      <c r="F9" s="16"/>
      <c r="G9" s="51">
        <v>18991582154</v>
      </c>
      <c r="H9" s="16"/>
      <c r="I9" s="16">
        <f t="shared" ref="I9:I34" si="0">E9-G9</f>
        <v>-138199949</v>
      </c>
      <c r="J9" s="16"/>
      <c r="K9" s="16">
        <f>IFERROR(VLOOKUP(A9,اوراق!$A$10:$AE$14,25,0),0)</f>
        <v>29100</v>
      </c>
      <c r="L9" s="16"/>
      <c r="M9" s="16">
        <f>IFERROR(VLOOKUP(A9,اوراق!$A$10:$AE$14,31,0),0)</f>
        <v>18853382205</v>
      </c>
      <c r="N9" s="16"/>
      <c r="O9" s="51">
        <v>18932887958</v>
      </c>
      <c r="P9" s="16"/>
      <c r="Q9" s="16">
        <f t="shared" ref="Q9:Q34" si="1">M9-O9</f>
        <v>-79505753</v>
      </c>
      <c r="R9" s="87"/>
      <c r="S9" s="165"/>
      <c r="T9" s="87"/>
      <c r="V9" s="17"/>
      <c r="W9" s="87"/>
      <c r="X9" s="87"/>
      <c r="Y9" s="87"/>
    </row>
    <row r="10" spans="1:25">
      <c r="A10" s="109" t="s">
        <v>118</v>
      </c>
      <c r="C10" s="16">
        <f>IFERROR(VLOOKUP(A10,اوراق!$A$10:$AE$14,25,0),0)</f>
        <v>3000</v>
      </c>
      <c r="D10" s="16"/>
      <c r="E10" s="16">
        <f>IFERROR(VLOOKUP(A10,اوراق!$A$10:$AE$14,31,0),0)</f>
        <v>2137622487</v>
      </c>
      <c r="F10" s="16"/>
      <c r="G10" s="51">
        <v>2119835712</v>
      </c>
      <c r="H10" s="16"/>
      <c r="I10" s="16">
        <f t="shared" si="0"/>
        <v>17786775</v>
      </c>
      <c r="J10" s="16"/>
      <c r="K10" s="16">
        <f>IFERROR(VLOOKUP(A10,اوراق!$A$10:$AE$14,25,0),0)</f>
        <v>3000</v>
      </c>
      <c r="L10" s="16"/>
      <c r="M10" s="16">
        <f>IFERROR(VLOOKUP(A10,اوراق!$A$10:$AE$14,31,0),0)</f>
        <v>2137622487</v>
      </c>
      <c r="N10" s="16"/>
      <c r="O10" s="51">
        <v>2082373207</v>
      </c>
      <c r="P10" s="16"/>
      <c r="Q10" s="16">
        <f t="shared" si="1"/>
        <v>55249280</v>
      </c>
      <c r="R10" s="87"/>
      <c r="S10" s="165"/>
      <c r="T10" s="87"/>
      <c r="V10" s="17"/>
      <c r="W10" s="87"/>
      <c r="X10" s="87"/>
      <c r="Y10" s="87"/>
    </row>
    <row r="11" spans="1:25">
      <c r="A11" s="109" t="s">
        <v>128</v>
      </c>
      <c r="C11" s="16">
        <f>IFERROR(VLOOKUP(A11,اوراق!$A$10:$AE$14,25,0),0)</f>
        <v>27300</v>
      </c>
      <c r="D11" s="16"/>
      <c r="E11" s="16">
        <f>IFERROR(VLOOKUP(A11,اوراق!$A$10:$AE$14,31,0),0)</f>
        <v>14477568468</v>
      </c>
      <c r="F11" s="16"/>
      <c r="G11" s="51">
        <v>14603125706</v>
      </c>
      <c r="H11" s="16"/>
      <c r="I11" s="16">
        <f t="shared" si="0"/>
        <v>-125557238</v>
      </c>
      <c r="J11" s="16"/>
      <c r="K11" s="16">
        <f>IFERROR(VLOOKUP(A11,اوراق!$A$10:$AE$14,25,0),0)</f>
        <v>27300</v>
      </c>
      <c r="L11" s="16"/>
      <c r="M11" s="16">
        <f>IFERROR(VLOOKUP(A11,اوراق!$A$10:$AE$14,31,0),0)</f>
        <v>14477568468</v>
      </c>
      <c r="N11" s="16"/>
      <c r="O11" s="51">
        <v>14976399978</v>
      </c>
      <c r="P11" s="16"/>
      <c r="Q11" s="16">
        <f t="shared" si="1"/>
        <v>-498831510</v>
      </c>
      <c r="R11" s="87"/>
      <c r="S11" s="165"/>
      <c r="T11" s="87"/>
      <c r="V11" s="17"/>
      <c r="W11" s="87"/>
      <c r="X11" s="87"/>
      <c r="Y11" s="87"/>
    </row>
    <row r="12" spans="1:25">
      <c r="A12" s="109" t="s">
        <v>145</v>
      </c>
      <c r="C12" s="16">
        <f>IFERROR(VLOOKUP(A12,اوراق!$A$10:$AE$14,25,0),0)</f>
        <v>8000</v>
      </c>
      <c r="D12" s="16"/>
      <c r="E12" s="16">
        <f>IFERROR(VLOOKUP(A12,اوراق!$A$10:$AE$14,31,0),0)</f>
        <v>4958461117</v>
      </c>
      <c r="F12" s="16"/>
      <c r="G12" s="51">
        <v>4972698535</v>
      </c>
      <c r="H12" s="16"/>
      <c r="I12" s="16">
        <f t="shared" si="0"/>
        <v>-14237418</v>
      </c>
      <c r="J12" s="16"/>
      <c r="K12" s="16">
        <f>IFERROR(VLOOKUP(A12,اوراق!$A$10:$AE$14,25,0),0)</f>
        <v>8000</v>
      </c>
      <c r="L12" s="16"/>
      <c r="M12" s="16">
        <f>IFERROR(VLOOKUP(A12,اوراق!$A$10:$AE$14,31,0),0)</f>
        <v>4958461117</v>
      </c>
      <c r="N12" s="16"/>
      <c r="O12" s="51">
        <v>4953173588</v>
      </c>
      <c r="P12" s="16"/>
      <c r="Q12" s="16">
        <f t="shared" si="1"/>
        <v>5287529</v>
      </c>
      <c r="R12" s="87"/>
      <c r="S12" s="165"/>
      <c r="T12" s="87"/>
      <c r="V12" s="17"/>
      <c r="W12" s="87"/>
      <c r="X12" s="87"/>
      <c r="Y12" s="87"/>
    </row>
    <row r="13" spans="1:25">
      <c r="A13" s="109" t="s">
        <v>108</v>
      </c>
      <c r="C13" s="16">
        <f>IFERROR(VLOOKUP(A13,' سهام'!$A$11:$U$32,15,0),0)</f>
        <v>48862</v>
      </c>
      <c r="D13" s="16"/>
      <c r="E13" s="16">
        <f>IFERROR(VLOOKUP(A13,' سهام'!$A$11:$U$32,21,0),0)</f>
        <v>1847651156</v>
      </c>
      <c r="F13" s="16"/>
      <c r="G13" s="51">
        <v>1700965918</v>
      </c>
      <c r="H13" s="16"/>
      <c r="I13" s="16">
        <f t="shared" si="0"/>
        <v>146685238</v>
      </c>
      <c r="J13" s="16"/>
      <c r="K13" s="16">
        <f>IFERROR(VLOOKUP(A13,' سهام'!$A$11:$U$32,15,0),0)</f>
        <v>48862</v>
      </c>
      <c r="L13" s="16"/>
      <c r="M13" s="16">
        <f>IFERROR(VLOOKUP(A13,' سهام'!$A$11:$U$32,21,0),0)</f>
        <v>1847651156</v>
      </c>
      <c r="N13" s="16"/>
      <c r="O13" s="51">
        <v>1524938123</v>
      </c>
      <c r="P13" s="16"/>
      <c r="Q13" s="16">
        <f t="shared" si="1"/>
        <v>322713033</v>
      </c>
      <c r="R13" s="87"/>
      <c r="S13" s="165"/>
      <c r="T13" s="87"/>
      <c r="V13" s="17"/>
      <c r="W13" s="87"/>
      <c r="X13" s="87"/>
      <c r="Y13" s="87"/>
    </row>
    <row r="14" spans="1:25">
      <c r="A14" s="109" t="s">
        <v>162</v>
      </c>
      <c r="C14" s="16">
        <f>IFERROR(VLOOKUP(A14,' سهام'!$A$11:$U$32,15,0),0)</f>
        <v>76717</v>
      </c>
      <c r="D14" s="16"/>
      <c r="E14" s="16">
        <f>IFERROR(VLOOKUP(A14,' سهام'!$A$11:$U$32,21,0),0)</f>
        <v>1429885013</v>
      </c>
      <c r="F14" s="16"/>
      <c r="G14" s="51">
        <v>1490708700</v>
      </c>
      <c r="H14" s="16"/>
      <c r="I14" s="16">
        <f t="shared" si="0"/>
        <v>-60823687</v>
      </c>
      <c r="J14" s="16"/>
      <c r="K14" s="16">
        <f>IFERROR(VLOOKUP(A14,' سهام'!$A$11:$U$32,15,0),0)</f>
        <v>76717</v>
      </c>
      <c r="L14" s="16"/>
      <c r="M14" s="16">
        <f>IFERROR(VLOOKUP(A14,' سهام'!$A$11:$U$32,21,0),0)</f>
        <v>1429885013</v>
      </c>
      <c r="N14" s="16"/>
      <c r="O14" s="51">
        <v>1490708700</v>
      </c>
      <c r="P14" s="16"/>
      <c r="Q14" s="16">
        <f t="shared" si="1"/>
        <v>-60823687</v>
      </c>
      <c r="R14" s="87"/>
      <c r="S14" s="165"/>
      <c r="T14" s="87"/>
      <c r="V14" s="17"/>
      <c r="W14" s="87"/>
      <c r="X14" s="87"/>
      <c r="Y14" s="87"/>
    </row>
    <row r="15" spans="1:25">
      <c r="A15" s="109" t="s">
        <v>139</v>
      </c>
      <c r="C15" s="16">
        <f>IFERROR(VLOOKUP(A15,' سهام'!$A$11:$U$32,15,0),0)</f>
        <v>300000</v>
      </c>
      <c r="D15" s="16"/>
      <c r="E15" s="16">
        <f>IFERROR(VLOOKUP(A15,' سهام'!$A$11:$U$32,21,0),0)</f>
        <v>7127338500</v>
      </c>
      <c r="F15" s="16"/>
      <c r="G15" s="51">
        <v>10911911400</v>
      </c>
      <c r="H15" s="16"/>
      <c r="I15" s="16">
        <f t="shared" si="0"/>
        <v>-3784572900</v>
      </c>
      <c r="J15" s="16"/>
      <c r="K15" s="16">
        <f>IFERROR(VLOOKUP(A15,' سهام'!$A$11:$U$32,15,0),0)</f>
        <v>300000</v>
      </c>
      <c r="L15" s="16"/>
      <c r="M15" s="16">
        <f>IFERROR(VLOOKUP(A15,' سهام'!$A$11:$U$32,21,0),0)</f>
        <v>7127338500</v>
      </c>
      <c r="N15" s="16"/>
      <c r="O15" s="51">
        <v>6205629600</v>
      </c>
      <c r="P15" s="16"/>
      <c r="Q15" s="16">
        <f t="shared" si="1"/>
        <v>921708900</v>
      </c>
      <c r="R15" s="87"/>
      <c r="S15" s="165"/>
      <c r="T15" s="87"/>
      <c r="V15" s="17"/>
      <c r="W15" s="87"/>
      <c r="X15" s="87"/>
      <c r="Y15" s="87"/>
    </row>
    <row r="16" spans="1:25">
      <c r="A16" s="109" t="s">
        <v>140</v>
      </c>
      <c r="C16" s="16">
        <f>IFERROR(VLOOKUP(A16,' سهام'!$A$11:$U$32,15,0),0)</f>
        <v>72312</v>
      </c>
      <c r="D16" s="16"/>
      <c r="E16" s="16">
        <f>IFERROR(VLOOKUP(A16,' سهام'!$A$11:$U$32,21,0),0)</f>
        <v>1515985977</v>
      </c>
      <c r="F16" s="16"/>
      <c r="G16" s="51">
        <v>1301778379</v>
      </c>
      <c r="H16" s="16"/>
      <c r="I16" s="16">
        <f t="shared" si="0"/>
        <v>214207598</v>
      </c>
      <c r="J16" s="16"/>
      <c r="K16" s="16">
        <f>IFERROR(VLOOKUP(A16,' سهام'!$A$11:$U$32,15,0),0)</f>
        <v>72312</v>
      </c>
      <c r="L16" s="16"/>
      <c r="M16" s="16">
        <f>IFERROR(VLOOKUP(A16,' سهام'!$A$11:$U$32,21,0),0)</f>
        <v>1515985977</v>
      </c>
      <c r="N16" s="16"/>
      <c r="O16" s="51">
        <v>1249646979</v>
      </c>
      <c r="P16" s="16"/>
      <c r="Q16" s="16">
        <f t="shared" si="1"/>
        <v>266338998</v>
      </c>
      <c r="R16" s="87"/>
      <c r="S16" s="165"/>
      <c r="T16" s="87"/>
      <c r="V16" s="17"/>
      <c r="W16" s="87"/>
      <c r="X16" s="87"/>
      <c r="Y16" s="87"/>
    </row>
    <row r="17" spans="1:25">
      <c r="A17" s="109" t="s">
        <v>137</v>
      </c>
      <c r="C17" s="16">
        <f>IFERROR(VLOOKUP(A17,' سهام'!$A$11:$U$32,15,0),0)</f>
        <v>361216</v>
      </c>
      <c r="D17" s="16"/>
      <c r="E17" s="16">
        <f>IFERROR(VLOOKUP(A17,' سهام'!$A$11:$U$32,21,0),0)</f>
        <v>4520650571</v>
      </c>
      <c r="F17" s="16"/>
      <c r="G17" s="51">
        <v>4333935854</v>
      </c>
      <c r="H17" s="16"/>
      <c r="I17" s="16">
        <f t="shared" si="0"/>
        <v>186714717</v>
      </c>
      <c r="J17" s="16"/>
      <c r="K17" s="16">
        <f>IFERROR(VLOOKUP(A17,' سهام'!$A$11:$U$32,15,0),0)</f>
        <v>361216</v>
      </c>
      <c r="L17" s="16"/>
      <c r="M17" s="16">
        <f>IFERROR(VLOOKUP(A17,' سهام'!$A$11:$U$32,21,0),0)</f>
        <v>4520650571</v>
      </c>
      <c r="N17" s="16"/>
      <c r="O17" s="51">
        <v>4696727047</v>
      </c>
      <c r="P17" s="16"/>
      <c r="Q17" s="16">
        <f t="shared" si="1"/>
        <v>-176076476</v>
      </c>
      <c r="R17" s="87"/>
      <c r="S17" s="165"/>
      <c r="T17" s="87"/>
      <c r="V17" s="17"/>
      <c r="W17" s="87"/>
      <c r="X17" s="87"/>
      <c r="Y17" s="87"/>
    </row>
    <row r="18" spans="1:25">
      <c r="A18" s="109" t="s">
        <v>109</v>
      </c>
      <c r="C18" s="16">
        <f>IFERROR(VLOOKUP(A18,' سهام'!$A$11:$U$32,15,0),0)</f>
        <v>40979</v>
      </c>
      <c r="D18" s="16"/>
      <c r="E18" s="16">
        <f>IFERROR(VLOOKUP(A18,' سهام'!$A$11:$U$32,21,0),0)</f>
        <v>193247673</v>
      </c>
      <c r="F18" s="16"/>
      <c r="G18" s="51">
        <v>194632670</v>
      </c>
      <c r="H18" s="16"/>
      <c r="I18" s="16">
        <f t="shared" si="0"/>
        <v>-1384997</v>
      </c>
      <c r="J18" s="16"/>
      <c r="K18" s="16">
        <f>IFERROR(VLOOKUP(A18,' سهام'!$A$11:$U$32,15,0),0)</f>
        <v>40979</v>
      </c>
      <c r="L18" s="16"/>
      <c r="M18" s="16">
        <f>IFERROR(VLOOKUP(A18,' سهام'!$A$11:$U$32,21,0),0)</f>
        <v>193247673</v>
      </c>
      <c r="N18" s="16"/>
      <c r="O18" s="51">
        <v>197148174</v>
      </c>
      <c r="P18" s="16"/>
      <c r="Q18" s="16">
        <f t="shared" si="1"/>
        <v>-3900501</v>
      </c>
      <c r="R18" s="87"/>
      <c r="S18" s="165"/>
      <c r="T18" s="87"/>
      <c r="V18" s="17"/>
      <c r="W18" s="87"/>
      <c r="X18" s="87"/>
      <c r="Y18" s="87"/>
    </row>
    <row r="19" spans="1:25">
      <c r="A19" s="109" t="s">
        <v>95</v>
      </c>
      <c r="C19" s="16">
        <f>IFERROR(VLOOKUP(A19,' سهام'!$A$11:$U$32,15,0),0)</f>
        <v>210255</v>
      </c>
      <c r="D19" s="16"/>
      <c r="E19" s="16">
        <f>IFERROR(VLOOKUP(A19,' سهام'!$A$11:$U$32,21,0),0)</f>
        <v>2334574491</v>
      </c>
      <c r="F19" s="16"/>
      <c r="G19" s="51">
        <v>2504138921</v>
      </c>
      <c r="H19" s="16"/>
      <c r="I19" s="16">
        <f t="shared" si="0"/>
        <v>-169564430</v>
      </c>
      <c r="J19" s="16"/>
      <c r="K19" s="16">
        <f>IFERROR(VLOOKUP(A19,' سهام'!$A$11:$U$32,15,0),0)</f>
        <v>210255</v>
      </c>
      <c r="L19" s="16"/>
      <c r="M19" s="16">
        <f>IFERROR(VLOOKUP(A19,' سهام'!$A$11:$U$32,21,0),0)</f>
        <v>2334574491</v>
      </c>
      <c r="N19" s="16"/>
      <c r="O19" s="51">
        <v>2482080285</v>
      </c>
      <c r="P19" s="16"/>
      <c r="Q19" s="16">
        <f t="shared" si="1"/>
        <v>-147505794</v>
      </c>
      <c r="R19" s="87"/>
      <c r="S19" s="165"/>
      <c r="T19" s="87"/>
      <c r="V19" s="17"/>
      <c r="W19" s="87"/>
      <c r="X19" s="87"/>
      <c r="Y19" s="87"/>
    </row>
    <row r="20" spans="1:25">
      <c r="A20" s="109" t="s">
        <v>125</v>
      </c>
      <c r="C20" s="16">
        <f>IFERROR(VLOOKUP(A20,' سهام'!$A$11:$U$32,15,0),0)</f>
        <v>4892580</v>
      </c>
      <c r="D20" s="16"/>
      <c r="E20" s="16">
        <f>IFERROR(VLOOKUP(A20,' سهام'!$A$11:$U$32,21,0),0)</f>
        <v>14682813365</v>
      </c>
      <c r="F20" s="16"/>
      <c r="G20" s="51">
        <v>14984479862</v>
      </c>
      <c r="H20" s="16"/>
      <c r="I20" s="16">
        <f t="shared" si="0"/>
        <v>-301666497</v>
      </c>
      <c r="J20" s="16"/>
      <c r="K20" s="16">
        <f>IFERROR(VLOOKUP(A20,' سهام'!$A$11:$U$32,15,0),0)</f>
        <v>4892580</v>
      </c>
      <c r="L20" s="16"/>
      <c r="M20" s="16">
        <f>IFERROR(VLOOKUP(A20,' سهام'!$A$11:$U$32,21,0),0)</f>
        <v>14682813365</v>
      </c>
      <c r="N20" s="16"/>
      <c r="O20" s="51">
        <v>15159609785</v>
      </c>
      <c r="P20" s="16"/>
      <c r="Q20" s="16">
        <f t="shared" si="1"/>
        <v>-476796420</v>
      </c>
      <c r="R20" s="87"/>
      <c r="S20" s="165"/>
      <c r="T20" s="87"/>
      <c r="V20" s="17"/>
      <c r="W20" s="87"/>
      <c r="X20" s="87"/>
      <c r="Y20" s="87"/>
    </row>
    <row r="21" spans="1:25">
      <c r="A21" s="109" t="s">
        <v>141</v>
      </c>
      <c r="C21" s="16">
        <f>IFERROR(VLOOKUP(A21,' سهام'!$A$11:$U$32,15,0),0)</f>
        <v>4477052</v>
      </c>
      <c r="D21" s="16"/>
      <c r="E21" s="16">
        <f>IFERROR(VLOOKUP(A21,' سهام'!$A$11:$U$32,21,0),0)</f>
        <v>5282640877</v>
      </c>
      <c r="F21" s="16"/>
      <c r="G21" s="51">
        <v>5011165651</v>
      </c>
      <c r="H21" s="16"/>
      <c r="I21" s="16">
        <f t="shared" si="0"/>
        <v>271475226</v>
      </c>
      <c r="J21" s="16"/>
      <c r="K21" s="16">
        <f>IFERROR(VLOOKUP(A21,' سهام'!$A$11:$U$32,15,0),0)</f>
        <v>4477052</v>
      </c>
      <c r="L21" s="16"/>
      <c r="M21" s="16">
        <f>IFERROR(VLOOKUP(A21,' سهام'!$A$11:$U$32,21,0),0)</f>
        <v>5282640877</v>
      </c>
      <c r="N21" s="16"/>
      <c r="O21" s="51">
        <v>5384684933</v>
      </c>
      <c r="P21" s="16"/>
      <c r="Q21" s="16">
        <f t="shared" si="1"/>
        <v>-102044056</v>
      </c>
      <c r="R21" s="87"/>
      <c r="S21" s="165"/>
      <c r="T21" s="87"/>
      <c r="V21" s="17"/>
      <c r="W21" s="87"/>
      <c r="X21" s="87"/>
      <c r="Y21" s="87"/>
    </row>
    <row r="22" spans="1:25">
      <c r="A22" s="109" t="s">
        <v>111</v>
      </c>
      <c r="C22" s="16">
        <f>IFERROR(VLOOKUP(A22,' سهام'!$A$11:$U$32,15,0),0)</f>
        <v>45555</v>
      </c>
      <c r="D22" s="16"/>
      <c r="E22" s="16">
        <f>IFERROR(VLOOKUP(A22,' سهام'!$A$11:$U$32,21,0),0)</f>
        <v>1286969797</v>
      </c>
      <c r="F22" s="16"/>
      <c r="G22" s="51">
        <v>1274743132</v>
      </c>
      <c r="H22" s="16"/>
      <c r="I22" s="16">
        <f t="shared" si="0"/>
        <v>12226665</v>
      </c>
      <c r="J22" s="16"/>
      <c r="K22" s="16">
        <f>IFERROR(VLOOKUP(A22,' سهام'!$A$11:$U$32,15,0),0)</f>
        <v>45555</v>
      </c>
      <c r="L22" s="16"/>
      <c r="M22" s="16">
        <f>IFERROR(VLOOKUP(A22,' سهام'!$A$11:$U$32,21,0),0)</f>
        <v>1286969797</v>
      </c>
      <c r="N22" s="16"/>
      <c r="O22" s="51">
        <v>1007798882</v>
      </c>
      <c r="P22" s="16"/>
      <c r="Q22" s="16">
        <f t="shared" si="1"/>
        <v>279170915</v>
      </c>
      <c r="R22" s="87"/>
      <c r="S22" s="165"/>
      <c r="T22" s="87"/>
      <c r="V22" s="17"/>
      <c r="W22" s="87"/>
      <c r="X22" s="87"/>
      <c r="Y22" s="87"/>
    </row>
    <row r="23" spans="1:25">
      <c r="A23" s="109" t="s">
        <v>97</v>
      </c>
      <c r="C23" s="16">
        <f>IFERROR(VLOOKUP(A23,' سهام'!$A$11:$U$32,15,0),0)</f>
        <v>250116</v>
      </c>
      <c r="D23" s="16"/>
      <c r="E23" s="16">
        <f>IFERROR(VLOOKUP(A23,' سهام'!$A$11:$U$32,21,0),0)</f>
        <v>5002391535</v>
      </c>
      <c r="F23" s="16"/>
      <c r="G23" s="51">
        <v>4440492686</v>
      </c>
      <c r="H23" s="16"/>
      <c r="I23" s="16">
        <f t="shared" si="0"/>
        <v>561898849</v>
      </c>
      <c r="J23" s="16"/>
      <c r="K23" s="16">
        <f>IFERROR(VLOOKUP(A23,' سهام'!$A$11:$U$32,15,0),0)</f>
        <v>250116</v>
      </c>
      <c r="L23" s="16"/>
      <c r="M23" s="16">
        <f>IFERROR(VLOOKUP(A23,' سهام'!$A$11:$U$32,21,0),0)</f>
        <v>5002391535</v>
      </c>
      <c r="N23" s="16"/>
      <c r="O23" s="51">
        <v>4635295440</v>
      </c>
      <c r="P23" s="16"/>
      <c r="Q23" s="16">
        <f t="shared" si="1"/>
        <v>367096095</v>
      </c>
      <c r="R23" s="87"/>
      <c r="S23" s="165"/>
      <c r="T23" s="87"/>
      <c r="V23" s="17"/>
      <c r="W23" s="87"/>
      <c r="X23" s="87"/>
      <c r="Y23" s="87"/>
    </row>
    <row r="24" spans="1:25">
      <c r="A24" s="109" t="s">
        <v>98</v>
      </c>
      <c r="C24" s="16">
        <f>IFERROR(VLOOKUP(A24,' سهام'!$A$11:$U$32,15,0),0)</f>
        <v>452614</v>
      </c>
      <c r="D24" s="16"/>
      <c r="E24" s="16">
        <f>IFERROR(VLOOKUP(A24,' سهام'!$A$11:$U$32,21,0),0)</f>
        <v>7896112617</v>
      </c>
      <c r="F24" s="16"/>
      <c r="G24" s="51">
        <v>7855619733</v>
      </c>
      <c r="H24" s="16"/>
      <c r="I24" s="16">
        <f t="shared" si="0"/>
        <v>40492884</v>
      </c>
      <c r="J24" s="16"/>
      <c r="K24" s="16">
        <f>IFERROR(VLOOKUP(A24,' سهام'!$A$11:$U$32,15,0),0)</f>
        <v>452614</v>
      </c>
      <c r="L24" s="16"/>
      <c r="M24" s="16">
        <f>IFERROR(VLOOKUP(A24,' سهام'!$A$11:$U$32,21,0),0)</f>
        <v>7896112617</v>
      </c>
      <c r="N24" s="16"/>
      <c r="O24" s="51">
        <v>7864381965</v>
      </c>
      <c r="P24" s="16"/>
      <c r="Q24" s="16">
        <f t="shared" si="1"/>
        <v>31730652</v>
      </c>
      <c r="R24" s="87"/>
      <c r="S24" s="165"/>
      <c r="T24" s="87"/>
      <c r="V24" s="17"/>
      <c r="W24" s="87"/>
      <c r="X24" s="87"/>
      <c r="Y24" s="87"/>
    </row>
    <row r="25" spans="1:25">
      <c r="A25" s="109" t="s">
        <v>142</v>
      </c>
      <c r="C25" s="16">
        <f>IFERROR(VLOOKUP(A25,' سهام'!$A$11:$U$32,15,0),0)</f>
        <v>114500</v>
      </c>
      <c r="D25" s="16"/>
      <c r="E25" s="16">
        <f>IFERROR(VLOOKUP(A25,' سهام'!$A$11:$U$32,21,0),0)</f>
        <v>8382749099</v>
      </c>
      <c r="F25" s="16"/>
      <c r="G25" s="51">
        <v>9725202576</v>
      </c>
      <c r="H25" s="16"/>
      <c r="I25" s="16">
        <f t="shared" si="0"/>
        <v>-1342453477</v>
      </c>
      <c r="J25" s="16"/>
      <c r="K25" s="16">
        <f>IFERROR(VLOOKUP(A25,' سهام'!$A$11:$U$32,15,0),0)</f>
        <v>114500</v>
      </c>
      <c r="L25" s="16"/>
      <c r="M25" s="16">
        <f>IFERROR(VLOOKUP(A25,' سهام'!$A$11:$U$32,21,0),0)</f>
        <v>8382749099</v>
      </c>
      <c r="N25" s="16"/>
      <c r="O25" s="51">
        <v>7563861753</v>
      </c>
      <c r="P25" s="16"/>
      <c r="Q25" s="16">
        <f t="shared" si="1"/>
        <v>818887346</v>
      </c>
      <c r="R25" s="87"/>
      <c r="S25" s="165"/>
      <c r="T25" s="87"/>
      <c r="V25" s="17"/>
      <c r="W25" s="87"/>
      <c r="X25" s="87"/>
      <c r="Y25" s="87"/>
    </row>
    <row r="26" spans="1:25">
      <c r="A26" s="109" t="s">
        <v>112</v>
      </c>
      <c r="C26" s="16">
        <f>IFERROR(VLOOKUP(A26,' سهام'!$A$11:$U$32,15,0),0)</f>
        <v>91504</v>
      </c>
      <c r="D26" s="16"/>
      <c r="E26" s="16">
        <f>IFERROR(VLOOKUP(A26,' سهام'!$A$11:$U$32,21,0),0)</f>
        <v>1525391677</v>
      </c>
      <c r="F26" s="16"/>
      <c r="G26" s="51">
        <v>1509018957</v>
      </c>
      <c r="H26" s="16"/>
      <c r="I26" s="16">
        <f t="shared" si="0"/>
        <v>16372720</v>
      </c>
      <c r="J26" s="16"/>
      <c r="K26" s="16">
        <f>IFERROR(VLOOKUP(A26,' سهام'!$A$11:$U$32,15,0),0)</f>
        <v>91504</v>
      </c>
      <c r="L26" s="16"/>
      <c r="M26" s="16">
        <f>IFERROR(VLOOKUP(A26,' سهام'!$A$11:$U$32,21,0),0)</f>
        <v>1525391677</v>
      </c>
      <c r="N26" s="16"/>
      <c r="O26" s="51">
        <v>1343728301</v>
      </c>
      <c r="P26" s="16"/>
      <c r="Q26" s="16">
        <f t="shared" si="1"/>
        <v>181663376</v>
      </c>
      <c r="R26" s="87"/>
      <c r="S26" s="165"/>
      <c r="T26" s="87"/>
      <c r="V26" s="17"/>
      <c r="W26" s="87"/>
      <c r="X26" s="87"/>
      <c r="Y26" s="87"/>
    </row>
    <row r="27" spans="1:25">
      <c r="A27" s="109" t="s">
        <v>143</v>
      </c>
      <c r="C27" s="16">
        <f>IFERROR(VLOOKUP(A27,' سهام'!$A$11:$U$32,15,0),0)</f>
        <v>200000</v>
      </c>
      <c r="D27" s="16"/>
      <c r="E27" s="16">
        <f>IFERROR(VLOOKUP(A27,' سهام'!$A$11:$U$32,21,0),0)</f>
        <v>2007981000</v>
      </c>
      <c r="F27" s="16"/>
      <c r="G27" s="51">
        <v>2461267800</v>
      </c>
      <c r="H27" s="16"/>
      <c r="I27" s="16">
        <f t="shared" si="0"/>
        <v>-453286800</v>
      </c>
      <c r="J27" s="16"/>
      <c r="K27" s="16">
        <f>IFERROR(VLOOKUP(A27,' سهام'!$A$11:$U$32,15,0),0)</f>
        <v>200000</v>
      </c>
      <c r="L27" s="16"/>
      <c r="M27" s="16">
        <f>IFERROR(VLOOKUP(A27,' سهام'!$A$11:$U$32,21,0),0)</f>
        <v>2007981000</v>
      </c>
      <c r="N27" s="16"/>
      <c r="O27" s="51">
        <v>1691534520</v>
      </c>
      <c r="P27" s="16"/>
      <c r="Q27" s="16">
        <f t="shared" si="1"/>
        <v>316446480</v>
      </c>
      <c r="R27" s="87"/>
      <c r="S27" s="165"/>
      <c r="T27" s="87"/>
      <c r="V27" s="17"/>
      <c r="W27" s="87"/>
      <c r="X27" s="87"/>
      <c r="Y27" s="87"/>
    </row>
    <row r="28" spans="1:25">
      <c r="A28" s="109" t="s">
        <v>123</v>
      </c>
      <c r="C28" s="16">
        <f>IFERROR(VLOOKUP(A28,' سهام'!$A$11:$U$32,15,0),0)</f>
        <v>704069</v>
      </c>
      <c r="D28" s="16"/>
      <c r="E28" s="16">
        <f>IFERROR(VLOOKUP(A28,' سهام'!$A$11:$U$32,21,0),0)</f>
        <v>5634032308</v>
      </c>
      <c r="F28" s="16"/>
      <c r="G28" s="51">
        <v>5578041927</v>
      </c>
      <c r="H28" s="16"/>
      <c r="I28" s="16">
        <f t="shared" si="0"/>
        <v>55990381</v>
      </c>
      <c r="J28" s="16"/>
      <c r="K28" s="16">
        <f>IFERROR(VLOOKUP(A28,' سهام'!$A$11:$U$32,15,0),0)</f>
        <v>704069</v>
      </c>
      <c r="L28" s="16"/>
      <c r="M28" s="16">
        <f>IFERROR(VLOOKUP(A28,' سهام'!$A$11:$U$32,21,0),0)</f>
        <v>5634032308</v>
      </c>
      <c r="N28" s="16"/>
      <c r="O28" s="51">
        <v>5700235753</v>
      </c>
      <c r="P28" s="16"/>
      <c r="Q28" s="16">
        <f t="shared" si="1"/>
        <v>-66203445</v>
      </c>
      <c r="R28" s="87"/>
      <c r="S28" s="165"/>
      <c r="T28" s="87"/>
      <c r="V28" s="17"/>
      <c r="W28" s="87"/>
      <c r="X28" s="87"/>
      <c r="Y28" s="87"/>
    </row>
    <row r="29" spans="1:25">
      <c r="A29" s="109" t="s">
        <v>114</v>
      </c>
      <c r="C29" s="16">
        <f>IFERROR(VLOOKUP(A29,' سهام'!$A$11:$U$32,15,0),0)</f>
        <v>40952</v>
      </c>
      <c r="D29" s="16"/>
      <c r="E29" s="16">
        <f>IFERROR(VLOOKUP(A29,' سهام'!$A$11:$U$32,21,0),0)</f>
        <v>907795888</v>
      </c>
      <c r="F29" s="16"/>
      <c r="G29" s="51">
        <v>1040097979</v>
      </c>
      <c r="H29" s="16"/>
      <c r="I29" s="16">
        <f t="shared" si="0"/>
        <v>-132302091</v>
      </c>
      <c r="J29" s="16"/>
      <c r="K29" s="16">
        <f>IFERROR(VLOOKUP(A29,' سهام'!$A$11:$U$32,15,0),0)</f>
        <v>40952</v>
      </c>
      <c r="L29" s="16"/>
      <c r="M29" s="16">
        <f>IFERROR(VLOOKUP(A29,' سهام'!$A$11:$U$32,21,0),0)</f>
        <v>907795888</v>
      </c>
      <c r="N29" s="16"/>
      <c r="O29" s="51">
        <v>948132311</v>
      </c>
      <c r="P29" s="16"/>
      <c r="Q29" s="16">
        <f t="shared" si="1"/>
        <v>-40336423</v>
      </c>
      <c r="R29" s="87"/>
      <c r="S29" s="165"/>
      <c r="T29" s="87"/>
      <c r="V29" s="17"/>
      <c r="W29" s="87"/>
      <c r="X29" s="87"/>
      <c r="Y29" s="87"/>
    </row>
    <row r="30" spans="1:25">
      <c r="A30" s="109" t="s">
        <v>99</v>
      </c>
      <c r="C30" s="16">
        <f>IFERROR(VLOOKUP(A30,' سهام'!$A$11:$U$32,15,0),0)</f>
        <v>184836</v>
      </c>
      <c r="D30" s="16"/>
      <c r="E30" s="16">
        <f>IFERROR(VLOOKUP(A30,' سهام'!$A$11:$U$32,21,0),0)</f>
        <v>9249281610</v>
      </c>
      <c r="F30" s="16"/>
      <c r="G30" s="51">
        <v>8466565288</v>
      </c>
      <c r="H30" s="16"/>
      <c r="I30" s="16">
        <f t="shared" si="0"/>
        <v>782716322</v>
      </c>
      <c r="J30" s="16"/>
      <c r="K30" s="16">
        <f>IFERROR(VLOOKUP(A30,' سهام'!$A$11:$U$32,15,0),0)</f>
        <v>184836</v>
      </c>
      <c r="L30" s="16"/>
      <c r="M30" s="16">
        <f>IFERROR(VLOOKUP(A30,' سهام'!$A$11:$U$32,21,0),0)</f>
        <v>9249281610</v>
      </c>
      <c r="N30" s="16"/>
      <c r="O30" s="51">
        <v>8191188650</v>
      </c>
      <c r="P30" s="16"/>
      <c r="Q30" s="16">
        <f t="shared" si="1"/>
        <v>1058092960</v>
      </c>
      <c r="R30" s="87"/>
      <c r="S30" s="165"/>
      <c r="T30" s="87"/>
      <c r="V30" s="17"/>
      <c r="W30" s="87"/>
      <c r="X30" s="87"/>
      <c r="Y30" s="87"/>
    </row>
    <row r="31" spans="1:25">
      <c r="A31" s="109" t="s">
        <v>100</v>
      </c>
      <c r="C31" s="16">
        <f>IFERROR(VLOOKUP(A31,' سهام'!$A$11:$U$32,15,0),0)</f>
        <v>1382344</v>
      </c>
      <c r="D31" s="16"/>
      <c r="E31" s="16">
        <f>IFERROR(VLOOKUP(A31,' سهام'!$A$11:$U$32,21,0),0)</f>
        <v>11652529575</v>
      </c>
      <c r="F31" s="16"/>
      <c r="G31" s="51">
        <v>11089140762</v>
      </c>
      <c r="H31" s="16"/>
      <c r="I31" s="16">
        <f t="shared" si="0"/>
        <v>563388813</v>
      </c>
      <c r="J31" s="16"/>
      <c r="K31" s="16">
        <f>IFERROR(VLOOKUP(A31,' سهام'!$A$11:$U$32,15,0),0)</f>
        <v>1382344</v>
      </c>
      <c r="L31" s="16"/>
      <c r="M31" s="16">
        <f>IFERROR(VLOOKUP(A31,' سهام'!$A$11:$U$32,21,0),0)</f>
        <v>11652529575</v>
      </c>
      <c r="N31" s="16"/>
      <c r="O31" s="51">
        <v>11867856378</v>
      </c>
      <c r="P31" s="16"/>
      <c r="Q31" s="16">
        <f t="shared" si="1"/>
        <v>-215326803</v>
      </c>
      <c r="R31" s="87"/>
      <c r="S31" s="165"/>
      <c r="T31" s="87"/>
      <c r="V31" s="17"/>
      <c r="W31" s="87"/>
      <c r="X31" s="87"/>
      <c r="Y31" s="87"/>
    </row>
    <row r="32" spans="1:25">
      <c r="A32" s="109" t="s">
        <v>101</v>
      </c>
      <c r="C32" s="16">
        <f>IFERROR(VLOOKUP(A32,' سهام'!$A$11:$U$32,15,0),0)</f>
        <v>1205666</v>
      </c>
      <c r="D32" s="16"/>
      <c r="E32" s="16">
        <f>IFERROR(VLOOKUP(A32,' سهام'!$A$11:$U$32,21,0),0)</f>
        <v>9456104149</v>
      </c>
      <c r="F32" s="16"/>
      <c r="G32" s="51">
        <v>9024646929</v>
      </c>
      <c r="H32" s="16"/>
      <c r="I32" s="16">
        <f t="shared" si="0"/>
        <v>431457220</v>
      </c>
      <c r="J32" s="16"/>
      <c r="K32" s="16">
        <f>IFERROR(VLOOKUP(A32,' سهام'!$A$11:$U$32,15,0),0)</f>
        <v>1205666</v>
      </c>
      <c r="L32" s="16"/>
      <c r="M32" s="16">
        <f>IFERROR(VLOOKUP(A32,' سهام'!$A$11:$U$32,21,0),0)</f>
        <v>9456104149</v>
      </c>
      <c r="N32" s="16"/>
      <c r="O32" s="51">
        <v>7503670800</v>
      </c>
      <c r="P32" s="16"/>
      <c r="Q32" s="16">
        <f t="shared" si="1"/>
        <v>1952433349</v>
      </c>
      <c r="R32" s="87"/>
      <c r="S32" s="165"/>
      <c r="T32" s="87"/>
      <c r="V32" s="17"/>
      <c r="W32" s="87"/>
      <c r="X32" s="87"/>
      <c r="Y32" s="87"/>
    </row>
    <row r="33" spans="1:25" ht="21.75" customHeight="1">
      <c r="A33" s="109" t="s">
        <v>102</v>
      </c>
      <c r="C33" s="16">
        <f>IFERROR(VLOOKUP(A33,' سهام'!$A$11:$U$32,15,0),0)</f>
        <v>2001443</v>
      </c>
      <c r="D33" s="16"/>
      <c r="E33" s="16">
        <f>IFERROR(VLOOKUP(A33,' سهام'!$A$11:$U$32,21,0),0)</f>
        <v>6774364683</v>
      </c>
      <c r="F33" s="16"/>
      <c r="G33" s="51">
        <v>6953422781</v>
      </c>
      <c r="H33" s="16"/>
      <c r="I33" s="16">
        <f t="shared" si="0"/>
        <v>-179058098</v>
      </c>
      <c r="J33" s="16"/>
      <c r="K33" s="16">
        <f>IFERROR(VLOOKUP(A33,' سهام'!$A$11:$U$32,15,0),0)</f>
        <v>2001443</v>
      </c>
      <c r="L33" s="16"/>
      <c r="M33" s="16">
        <f>IFERROR(VLOOKUP(A33,' سهام'!$A$11:$U$32,21,0),0)</f>
        <v>6774364683</v>
      </c>
      <c r="N33" s="16"/>
      <c r="O33" s="51">
        <v>7684481007</v>
      </c>
      <c r="P33" s="16"/>
      <c r="Q33" s="16">
        <f t="shared" si="1"/>
        <v>-910116324</v>
      </c>
      <c r="R33" s="87"/>
      <c r="S33" s="165"/>
      <c r="T33" s="87"/>
      <c r="V33" s="17"/>
      <c r="W33" s="87"/>
      <c r="X33" s="87"/>
      <c r="Y33" s="87"/>
    </row>
    <row r="34" spans="1:25" ht="21.75" customHeight="1">
      <c r="A34" s="109" t="s">
        <v>144</v>
      </c>
      <c r="C34" s="16">
        <f>IFERROR(VLOOKUP(A34,' سهام'!$A$11:$U$32,15,0),0)</f>
        <v>1460623</v>
      </c>
      <c r="D34" s="16"/>
      <c r="E34" s="16">
        <f>IFERROR(VLOOKUP(A34,' سهام'!$A$11:$U$32,21,0),0)</f>
        <v>6599032277</v>
      </c>
      <c r="F34" s="16"/>
      <c r="G34" s="51">
        <v>7622644542</v>
      </c>
      <c r="H34" s="16"/>
      <c r="I34" s="16">
        <f t="shared" si="0"/>
        <v>-1023612265</v>
      </c>
      <c r="J34" s="16"/>
      <c r="K34" s="16">
        <f>IFERROR(VLOOKUP(A34,' سهام'!$A$11:$U$32,15,0),0)</f>
        <v>1460623</v>
      </c>
      <c r="L34" s="16"/>
      <c r="M34" s="16">
        <f>IFERROR(VLOOKUP(A34,' سهام'!$A$11:$U$32,21,0),0)</f>
        <v>6599032277</v>
      </c>
      <c r="N34" s="16"/>
      <c r="O34" s="51">
        <v>8949590588</v>
      </c>
      <c r="P34" s="16"/>
      <c r="Q34" s="16">
        <f t="shared" si="1"/>
        <v>-2350558311</v>
      </c>
      <c r="R34" s="87"/>
      <c r="S34" s="165"/>
      <c r="T34" s="87"/>
      <c r="V34" s="17"/>
      <c r="W34" s="87"/>
      <c r="X34" s="87"/>
      <c r="Y34" s="87"/>
    </row>
    <row r="35" spans="1:25" ht="23.25" thickBot="1">
      <c r="A35" s="109"/>
      <c r="B35" s="109"/>
      <c r="C35" s="109"/>
      <c r="D35" s="109"/>
      <c r="E35" s="166">
        <f>SUM(E8:E34)</f>
        <v>166027369770</v>
      </c>
      <c r="F35" s="32"/>
      <c r="G35" s="166">
        <f>SUM(G8:G34)</f>
        <v>170487219346</v>
      </c>
      <c r="H35" s="32"/>
      <c r="I35" s="166">
        <f>SUM(I8:I34)</f>
        <v>-4459849576</v>
      </c>
      <c r="J35" s="32"/>
      <c r="K35" s="16"/>
      <c r="L35" s="32"/>
      <c r="M35" s="166">
        <f>SUM(M8:M34)</f>
        <v>166027369770</v>
      </c>
      <c r="N35" s="32"/>
      <c r="O35" s="166">
        <f>SUM(O8:O34)</f>
        <v>164547782131</v>
      </c>
      <c r="P35" s="32"/>
      <c r="Q35" s="166">
        <f>SUM(Q8:Q34)</f>
        <v>1479587639</v>
      </c>
      <c r="R35" s="87"/>
      <c r="S35" s="87"/>
      <c r="T35" s="87"/>
    </row>
    <row r="36" spans="1:25" ht="23.25" thickTop="1">
      <c r="A36" s="70"/>
      <c r="B36" s="70"/>
      <c r="C36" s="80"/>
      <c r="D36" s="70"/>
      <c r="E36" s="55"/>
      <c r="F36" s="32"/>
      <c r="G36" s="55"/>
      <c r="H36" s="32"/>
      <c r="I36" s="55"/>
      <c r="J36" s="32"/>
      <c r="K36" s="80"/>
      <c r="L36" s="32"/>
      <c r="M36" s="55"/>
      <c r="N36" s="32"/>
      <c r="O36" s="55"/>
      <c r="P36" s="32"/>
      <c r="Q36" s="55"/>
      <c r="R36" s="87"/>
      <c r="S36" s="87"/>
      <c r="T36" s="87"/>
    </row>
    <row r="37" spans="1:25" ht="24.75" customHeight="1">
      <c r="A37" s="310" t="s">
        <v>45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2"/>
    </row>
    <row r="38" spans="1:25" ht="10.5" customHeight="1">
      <c r="Q38" s="107"/>
    </row>
    <row r="39" spans="1:25">
      <c r="Q39" s="107"/>
    </row>
    <row r="42" spans="1:25">
      <c r="Q42" s="107"/>
    </row>
    <row r="43" spans="1:25" s="33" customFormat="1" ht="24"/>
    <row r="44" spans="1:25" s="26" customFormat="1"/>
    <row r="45" spans="1:25" s="26" customFormat="1"/>
    <row r="46" spans="1:25" s="26" customFormat="1"/>
    <row r="47" spans="1:25" s="26" customFormat="1"/>
    <row r="48" spans="1:25" s="26" customFormat="1"/>
    <row r="49" s="26" customFormat="1"/>
    <row r="50" s="33" customFormat="1" ht="24"/>
    <row r="51" s="33" customFormat="1" ht="24"/>
    <row r="52" s="33" customFormat="1" ht="24"/>
    <row r="53" s="33" customFormat="1" ht="24"/>
    <row r="54" s="33" customFormat="1" ht="24"/>
  </sheetData>
  <autoFilter ref="A7:Q7" xr:uid="{00000000-0009-0000-0000-000008000000}">
    <sortState xmlns:xlrd2="http://schemas.microsoft.com/office/spreadsheetml/2017/richdata2" ref="A8:Q33">
      <sortCondition descending="1" ref="Q7"/>
    </sortState>
  </autoFilter>
  <mergeCells count="7">
    <mergeCell ref="A37:Q37"/>
    <mergeCell ref="C6:I6"/>
    <mergeCell ref="K6:Q6"/>
    <mergeCell ref="A5:H5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  <pageSetUpPr fitToPage="1"/>
  </sheetPr>
  <dimension ref="A1:X47"/>
  <sheetViews>
    <sheetView rightToLeft="1" view="pageBreakPreview" zoomScale="55" zoomScaleNormal="100" zoomScaleSheetLayoutView="55" workbookViewId="0">
      <selection activeCell="A4" sqref="A4"/>
    </sheetView>
  </sheetViews>
  <sheetFormatPr defaultColWidth="9.140625" defaultRowHeight="15"/>
  <cols>
    <col min="1" max="1" width="60.7109375" style="110" customWidth="1"/>
    <col min="2" max="2" width="1.28515625" style="110" customWidth="1"/>
    <col min="3" max="3" width="26.5703125" style="40" customWidth="1"/>
    <col min="4" max="4" width="1" style="110" customWidth="1"/>
    <col min="5" max="5" width="28.42578125" style="41" customWidth="1"/>
    <col min="6" max="6" width="1.42578125" style="41" customWidth="1"/>
    <col min="7" max="7" width="26.5703125" style="41" customWidth="1"/>
    <col min="8" max="8" width="1" style="124" customWidth="1"/>
    <col min="9" max="9" width="28.42578125" style="124" customWidth="1"/>
    <col min="10" max="10" width="2" style="124" customWidth="1"/>
    <col min="11" max="11" width="28.5703125" style="125" customWidth="1"/>
    <col min="12" max="12" width="1.5703125" style="110" customWidth="1"/>
    <col min="13" max="13" width="28.42578125" style="40" bestFit="1" customWidth="1"/>
    <col min="14" max="14" width="0.85546875" style="40" customWidth="1"/>
    <col min="15" max="15" width="28.42578125" style="41" bestFit="1" customWidth="1"/>
    <col min="16" max="16" width="0.85546875" style="41" customWidth="1"/>
    <col min="17" max="17" width="28.42578125" style="41" bestFit="1" customWidth="1"/>
    <col min="18" max="18" width="0.85546875" style="41" customWidth="1"/>
    <col min="19" max="19" width="27.140625" style="41" customWidth="1"/>
    <col min="20" max="20" width="1.42578125" style="41" customWidth="1"/>
    <col min="21" max="21" width="29.85546875" style="125" customWidth="1"/>
    <col min="22" max="22" width="9.140625" style="110"/>
    <col min="23" max="23" width="22.42578125" style="110" bestFit="1" customWidth="1"/>
    <col min="24" max="24" width="9.140625" style="110"/>
    <col min="25" max="25" width="18.85546875" style="110" bestFit="1" customWidth="1"/>
    <col min="26" max="16384" width="9.140625" style="110"/>
  </cols>
  <sheetData>
    <row r="1" spans="1:24" ht="27.75">
      <c r="A1" s="314" t="s">
        <v>94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</row>
    <row r="2" spans="1:24" ht="27.75">
      <c r="A2" s="314" t="s">
        <v>57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1:24" ht="27.75">
      <c r="A3" s="314" t="str">
        <f>' سهام'!A3:W3</f>
        <v>برای ماه منتهی به 1402/12/29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</row>
    <row r="5" spans="1:24" s="111" customFormat="1" ht="24.75">
      <c r="A5" s="266" t="s">
        <v>28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</row>
    <row r="6" spans="1:24" s="111" customFormat="1" ht="24">
      <c r="C6" s="33"/>
      <c r="E6" s="36"/>
      <c r="F6" s="36"/>
      <c r="G6" s="36"/>
      <c r="H6" s="112"/>
      <c r="I6" s="112"/>
      <c r="J6" s="112"/>
      <c r="K6" s="113"/>
      <c r="M6" s="33"/>
      <c r="N6" s="33"/>
      <c r="O6" s="36"/>
      <c r="P6" s="36"/>
      <c r="Q6" s="36"/>
      <c r="R6" s="36"/>
      <c r="S6" s="36"/>
      <c r="T6" s="36"/>
      <c r="U6" s="113"/>
    </row>
    <row r="7" spans="1:24" s="111" customFormat="1" ht="27" customHeight="1" thickBot="1">
      <c r="A7" s="114"/>
      <c r="B7" s="115"/>
      <c r="C7" s="314" t="str" cm="1">
        <f t="array" ref="C7:G7">'سود اوراق بهادار و سپرده بانکی'!H6:L6</f>
        <v>طی اسفند ماه</v>
      </c>
      <c r="D7" s="314">
        <v>0</v>
      </c>
      <c r="E7" s="314">
        <v>0</v>
      </c>
      <c r="F7" s="314">
        <v>0</v>
      </c>
      <c r="G7" s="314">
        <v>0</v>
      </c>
      <c r="H7" s="314"/>
      <c r="I7" s="314"/>
      <c r="J7" s="314"/>
      <c r="K7" s="314"/>
      <c r="L7" s="115"/>
      <c r="M7" s="314" t="str" cm="1">
        <f t="array" ref="M7:Q7">'سود اوراق بهادار و سپرده بانکی'!N6:R6</f>
        <v>از ابتدای سال مالی تا پایان اسفند ماه</v>
      </c>
      <c r="N7" s="314">
        <v>0</v>
      </c>
      <c r="O7" s="314">
        <v>0</v>
      </c>
      <c r="P7" s="314">
        <v>0</v>
      </c>
      <c r="Q7" s="314">
        <v>0</v>
      </c>
      <c r="R7" s="314"/>
      <c r="S7" s="314"/>
      <c r="T7" s="314"/>
      <c r="U7" s="314"/>
    </row>
    <row r="8" spans="1:24" s="92" customFormat="1" ht="24.75" customHeight="1">
      <c r="A8" s="329" t="s">
        <v>24</v>
      </c>
      <c r="B8" s="329"/>
      <c r="C8" s="315" t="s">
        <v>12</v>
      </c>
      <c r="D8" s="331"/>
      <c r="E8" s="317" t="s">
        <v>13</v>
      </c>
      <c r="F8" s="324"/>
      <c r="G8" s="317" t="s">
        <v>14</v>
      </c>
      <c r="H8" s="327"/>
      <c r="I8" s="319" t="s">
        <v>2</v>
      </c>
      <c r="J8" s="319"/>
      <c r="K8" s="319"/>
      <c r="L8" s="329"/>
      <c r="M8" s="315" t="s">
        <v>12</v>
      </c>
      <c r="N8" s="321"/>
      <c r="O8" s="317" t="s">
        <v>13</v>
      </c>
      <c r="P8" s="324"/>
      <c r="Q8" s="317" t="s">
        <v>14</v>
      </c>
      <c r="R8" s="324"/>
      <c r="S8" s="319" t="s">
        <v>2</v>
      </c>
      <c r="T8" s="319"/>
      <c r="U8" s="319"/>
    </row>
    <row r="9" spans="1:24" s="92" customFormat="1" ht="6" customHeight="1" thickBot="1">
      <c r="A9" s="329"/>
      <c r="B9" s="329"/>
      <c r="C9" s="316"/>
      <c r="D9" s="329"/>
      <c r="E9" s="318"/>
      <c r="F9" s="325"/>
      <c r="G9" s="318"/>
      <c r="H9" s="328"/>
      <c r="I9" s="320"/>
      <c r="J9" s="320"/>
      <c r="K9" s="320"/>
      <c r="L9" s="329"/>
      <c r="M9" s="316"/>
      <c r="N9" s="322"/>
      <c r="O9" s="318"/>
      <c r="P9" s="325"/>
      <c r="Q9" s="318"/>
      <c r="R9" s="325"/>
      <c r="S9" s="320"/>
      <c r="T9" s="320"/>
      <c r="U9" s="320"/>
    </row>
    <row r="10" spans="1:24" s="92" customFormat="1" ht="42.75" customHeight="1" thickBot="1">
      <c r="A10" s="330"/>
      <c r="B10" s="329"/>
      <c r="C10" s="37" t="s">
        <v>61</v>
      </c>
      <c r="D10" s="329"/>
      <c r="E10" s="38" t="s">
        <v>62</v>
      </c>
      <c r="F10" s="326"/>
      <c r="G10" s="38" t="s">
        <v>63</v>
      </c>
      <c r="H10" s="328"/>
      <c r="I10" s="116" t="s">
        <v>6</v>
      </c>
      <c r="J10" s="116"/>
      <c r="K10" s="117" t="s">
        <v>19</v>
      </c>
      <c r="L10" s="329"/>
      <c r="M10" s="37" t="s">
        <v>61</v>
      </c>
      <c r="N10" s="323"/>
      <c r="O10" s="38" t="s">
        <v>62</v>
      </c>
      <c r="P10" s="326"/>
      <c r="Q10" s="38" t="s">
        <v>63</v>
      </c>
      <c r="R10" s="326"/>
      <c r="S10" s="39" t="s">
        <v>6</v>
      </c>
      <c r="T10" s="39"/>
      <c r="U10" s="117" t="s">
        <v>19</v>
      </c>
    </row>
    <row r="11" spans="1:24" s="60" customFormat="1" ht="30.75">
      <c r="A11" s="118" t="s">
        <v>108</v>
      </c>
      <c r="C11" s="4">
        <f>IFERROR(VLOOKUP(A11,'درآمد سود سهام'!$A$9:$S$26,13,0),0)</f>
        <v>0</v>
      </c>
      <c r="D11" s="4"/>
      <c r="E11" s="4">
        <f>IFERROR(VLOOKUP(A11,'درآمد ناشی از تغییر قیمت  '!$A$8:$Q$34,9,0),0)</f>
        <v>146685238</v>
      </c>
      <c r="F11" s="4"/>
      <c r="G11" s="4">
        <f>IFERROR(VLOOKUP(A11,'درآمد ناشی ازفروش'!$A$8:$I$34,9,0),0)</f>
        <v>0</v>
      </c>
      <c r="H11" s="4"/>
      <c r="I11" s="4">
        <f>G11+E11+C11</f>
        <v>146685238</v>
      </c>
      <c r="K11" s="56">
        <f>I11/4162497234</f>
        <v>3.5239720233769652E-2</v>
      </c>
      <c r="M11" s="4">
        <f>IFERROR(VLOOKUP(A11,'درآمد سود سهام'!$A$9:$S$26,19,0),0)</f>
        <v>0</v>
      </c>
      <c r="N11" s="4"/>
      <c r="O11" s="4">
        <f>IFERROR(VLOOKUP(A11,'درآمد ناشی از تغییر قیمت  '!$A$8:$Q$34,17,0),0)</f>
        <v>322713033</v>
      </c>
      <c r="P11" s="4"/>
      <c r="Q11" s="4">
        <f>IFERROR(VLOOKUP(A11,'درآمد ناشی ازفروش'!$A$8:$Q$35,17,0),0)</f>
        <v>69041732</v>
      </c>
      <c r="R11" s="4"/>
      <c r="S11" s="4">
        <f>Q11+O11+M11</f>
        <v>391754765</v>
      </c>
      <c r="T11" s="65"/>
      <c r="U11" s="57">
        <f>S11/درآمدها!$J$5</f>
        <v>2.4577654386277219E-2</v>
      </c>
      <c r="V11" s="66"/>
      <c r="W11" s="66"/>
      <c r="X11" s="66"/>
    </row>
    <row r="12" spans="1:24" s="60" customFormat="1" ht="30.75">
      <c r="A12" s="118" t="s">
        <v>162</v>
      </c>
      <c r="C12" s="4">
        <f>IFERROR(VLOOKUP(A12,'درآمد سود سهام'!$A$9:$S$26,13,0),0)</f>
        <v>0</v>
      </c>
      <c r="D12" s="4"/>
      <c r="E12" s="4">
        <f>IFERROR(VLOOKUP(A12,'درآمد ناشی از تغییر قیمت  '!$A$8:$Q$34,9,0),0)</f>
        <v>-60823687</v>
      </c>
      <c r="F12" s="4"/>
      <c r="G12" s="4">
        <f>IFERROR(VLOOKUP(A12,'درآمد ناشی ازفروش'!$A$8:$I$34,9,0),0)</f>
        <v>0</v>
      </c>
      <c r="H12" s="4"/>
      <c r="I12" s="4">
        <f t="shared" ref="I12:I38" si="0">G12+E12+C12</f>
        <v>-60823687</v>
      </c>
      <c r="K12" s="56">
        <f t="shared" ref="K12:K38" si="1">I12/4162497234</f>
        <v>-1.4612306887120926E-2</v>
      </c>
      <c r="M12" s="4">
        <f>IFERROR(VLOOKUP(A12,'درآمد سود سهام'!$A$9:$S$26,19,0),0)</f>
        <v>0</v>
      </c>
      <c r="N12" s="4"/>
      <c r="O12" s="4">
        <f>IFERROR(VLOOKUP(A12,'درآمد ناشی از تغییر قیمت  '!$A$8:$Q$34,17,0),0)</f>
        <v>-60823687</v>
      </c>
      <c r="P12" s="4"/>
      <c r="Q12" s="4">
        <f>IFERROR(VLOOKUP(A12,'درآمد ناشی ازفروش'!$A$8:$Q$35,17,0),0)</f>
        <v>0</v>
      </c>
      <c r="R12" s="4"/>
      <c r="S12" s="4">
        <f t="shared" ref="S12:S38" si="2">Q12+O12+M12</f>
        <v>-60823687</v>
      </c>
      <c r="T12" s="65"/>
      <c r="U12" s="57">
        <f>S12/درآمدها!$J$5</f>
        <v>-3.8159167191880936E-3</v>
      </c>
      <c r="V12" s="66"/>
      <c r="W12" s="66"/>
      <c r="X12" s="66"/>
    </row>
    <row r="13" spans="1:24" s="60" customFormat="1" ht="30.75">
      <c r="A13" s="118" t="s">
        <v>139</v>
      </c>
      <c r="C13" s="4">
        <f>IFERROR(VLOOKUP(A13,'درآمد سود سهام'!$A$9:$S$26,13,0),0)</f>
        <v>0</v>
      </c>
      <c r="D13" s="4"/>
      <c r="E13" s="4">
        <f>IFERROR(VLOOKUP(A13,'درآمد ناشی از تغییر قیمت  '!$A$8:$Q$34,9,0),0)</f>
        <v>-3784572900</v>
      </c>
      <c r="F13" s="4"/>
      <c r="G13" s="4">
        <f>IFERROR(VLOOKUP(A13,'درآمد ناشی ازفروش'!$A$8:$I$34,9,0),0)</f>
        <v>2733048904</v>
      </c>
      <c r="H13" s="4"/>
      <c r="I13" s="4">
        <f t="shared" si="0"/>
        <v>-1051523996</v>
      </c>
      <c r="K13" s="56">
        <f t="shared" si="1"/>
        <v>-0.25261854528357869</v>
      </c>
      <c r="M13" s="4">
        <f>IFERROR(VLOOKUP(A13,'درآمد سود سهام'!$A$9:$S$26,19,0),0)</f>
        <v>0</v>
      </c>
      <c r="N13" s="4"/>
      <c r="O13" s="4">
        <f>IFERROR(VLOOKUP(A13,'درآمد ناشی از تغییر قیمت  '!$A$8:$Q$34,17,0),0)</f>
        <v>921708900</v>
      </c>
      <c r="P13" s="4"/>
      <c r="Q13" s="4">
        <f>IFERROR(VLOOKUP(A13,'درآمد ناشی ازفروش'!$A$8:$Q$35,17,0),0)</f>
        <v>2733048904</v>
      </c>
      <c r="R13" s="4"/>
      <c r="S13" s="4">
        <f t="shared" si="2"/>
        <v>3654757804</v>
      </c>
      <c r="T13" s="65"/>
      <c r="U13" s="57">
        <f>S13/درآمدها!$J$5</f>
        <v>0.22928980627015855</v>
      </c>
      <c r="V13" s="66"/>
      <c r="W13" s="66"/>
      <c r="X13" s="66"/>
    </row>
    <row r="14" spans="1:24" s="60" customFormat="1" ht="36.75" customHeight="1">
      <c r="A14" s="118" t="s">
        <v>140</v>
      </c>
      <c r="C14" s="4">
        <f>IFERROR(VLOOKUP(A14,'درآمد سود سهام'!$A$9:$S$26,13,0),0)</f>
        <v>0</v>
      </c>
      <c r="D14" s="4"/>
      <c r="E14" s="4">
        <f>IFERROR(VLOOKUP(A14,'درآمد ناشی از تغییر قیمت  '!$A$8:$Q$34,9,0),0)</f>
        <v>214207598</v>
      </c>
      <c r="F14" s="4"/>
      <c r="G14" s="4">
        <f>IFERROR(VLOOKUP(A14,'درآمد ناشی ازفروش'!$A$8:$I$34,9,0),0)</f>
        <v>0</v>
      </c>
      <c r="H14" s="4"/>
      <c r="I14" s="4">
        <f t="shared" si="0"/>
        <v>214207598</v>
      </c>
      <c r="K14" s="56">
        <f t="shared" si="1"/>
        <v>5.146131900108309E-2</v>
      </c>
      <c r="M14" s="4">
        <f>IFERROR(VLOOKUP(A14,'درآمد سود سهام'!$A$9:$S$26,19,0),0)</f>
        <v>0</v>
      </c>
      <c r="N14" s="4"/>
      <c r="O14" s="4">
        <f>IFERROR(VLOOKUP(A14,'درآمد ناشی از تغییر قیمت  '!$A$8:$Q$34,17,0),0)</f>
        <v>266338998</v>
      </c>
      <c r="P14" s="4"/>
      <c r="Q14" s="4">
        <f>IFERROR(VLOOKUP(A14,'درآمد ناشی ازفروش'!$A$8:$Q$35,17,0),0)</f>
        <v>0</v>
      </c>
      <c r="R14" s="4"/>
      <c r="S14" s="4">
        <f t="shared" si="2"/>
        <v>266338998</v>
      </c>
      <c r="T14" s="65"/>
      <c r="U14" s="57">
        <f>S14/درآمدها!$J$5</f>
        <v>1.6709401970978907E-2</v>
      </c>
      <c r="V14" s="66"/>
      <c r="W14" s="66"/>
      <c r="X14" s="66"/>
    </row>
    <row r="15" spans="1:24" s="60" customFormat="1" ht="30.75">
      <c r="A15" s="118" t="s">
        <v>137</v>
      </c>
      <c r="C15" s="4">
        <f>IFERROR(VLOOKUP(A15,'درآمد سود سهام'!$A$9:$S$26,13,0),0)</f>
        <v>0</v>
      </c>
      <c r="D15" s="4"/>
      <c r="E15" s="4">
        <f>IFERROR(VLOOKUP(A15,'درآمد ناشی از تغییر قیمت  '!$A$8:$Q$34,9,0),0)</f>
        <v>186714717</v>
      </c>
      <c r="F15" s="4"/>
      <c r="G15" s="4">
        <f>IFERROR(VLOOKUP(A15,'درآمد ناشی ازفروش'!$A$8:$I$34,9,0),0)</f>
        <v>0</v>
      </c>
      <c r="H15" s="4"/>
      <c r="I15" s="4">
        <f t="shared" si="0"/>
        <v>186714717</v>
      </c>
      <c r="K15" s="56">
        <f t="shared" si="1"/>
        <v>4.4856418275760472E-2</v>
      </c>
      <c r="M15" s="4">
        <f>IFERROR(VLOOKUP(A15,'درآمد سود سهام'!$A$9:$S$26,19,0),0)</f>
        <v>0</v>
      </c>
      <c r="N15" s="4"/>
      <c r="O15" s="4">
        <f>IFERROR(VLOOKUP(A15,'درآمد ناشی از تغییر قیمت  '!$A$8:$Q$34,17,0),0)</f>
        <v>-176076476</v>
      </c>
      <c r="P15" s="4"/>
      <c r="Q15" s="4">
        <f>IFERROR(VLOOKUP(A15,'درآمد ناشی ازفروش'!$A$8:$Q$35,17,0),0)</f>
        <v>-740024</v>
      </c>
      <c r="R15" s="4"/>
      <c r="S15" s="4">
        <f t="shared" si="2"/>
        <v>-176816500</v>
      </c>
      <c r="T15" s="65"/>
      <c r="U15" s="57">
        <f>S15/درآمدها!$J$5</f>
        <v>-1.1092998005502718E-2</v>
      </c>
      <c r="V15" s="66"/>
      <c r="W15" s="66"/>
      <c r="X15" s="66"/>
    </row>
    <row r="16" spans="1:24" s="60" customFormat="1" ht="30.75">
      <c r="A16" s="118" t="s">
        <v>109</v>
      </c>
      <c r="C16" s="4">
        <f>IFERROR(VLOOKUP(A16,'درآمد سود سهام'!$A$9:$S$26,13,0),0)</f>
        <v>0</v>
      </c>
      <c r="D16" s="4"/>
      <c r="E16" s="4">
        <f>IFERROR(VLOOKUP(A16,'درآمد ناشی از تغییر قیمت  '!$A$8:$Q$34,9,0),0)</f>
        <v>-1384997</v>
      </c>
      <c r="F16" s="4"/>
      <c r="G16" s="4">
        <f>IFERROR(VLOOKUP(A16,'درآمد ناشی ازفروش'!$A$8:$I$34,9,0),0)</f>
        <v>0</v>
      </c>
      <c r="H16" s="4"/>
      <c r="I16" s="4">
        <f t="shared" si="0"/>
        <v>-1384997</v>
      </c>
      <c r="K16" s="56">
        <f t="shared" si="1"/>
        <v>-3.3273223311407971E-4</v>
      </c>
      <c r="M16" s="4">
        <f>IFERROR(VLOOKUP(A16,'درآمد سود سهام'!$A$9:$S$26,19,0),0)</f>
        <v>0</v>
      </c>
      <c r="N16" s="4"/>
      <c r="O16" s="4">
        <f>IFERROR(VLOOKUP(A16,'درآمد ناشی از تغییر قیمت  '!$A$8:$Q$34,17,0),0)</f>
        <v>-3900501</v>
      </c>
      <c r="P16" s="4"/>
      <c r="Q16" s="4">
        <f>IFERROR(VLOOKUP(A16,'درآمد ناشی ازفروش'!$A$8:$Q$35,17,0),0)</f>
        <v>4831879546</v>
      </c>
      <c r="R16" s="4"/>
      <c r="S16" s="4">
        <f t="shared" si="2"/>
        <v>4827979045</v>
      </c>
      <c r="T16" s="65"/>
      <c r="U16" s="57">
        <f>S16/درآمدها!$J$5</f>
        <v>0.30289459364252724</v>
      </c>
      <c r="V16" s="66"/>
      <c r="W16" s="66"/>
      <c r="X16" s="66"/>
    </row>
    <row r="17" spans="1:24" s="60" customFormat="1" ht="34.5" customHeight="1">
      <c r="A17" s="118" t="s">
        <v>110</v>
      </c>
      <c r="C17" s="4">
        <f>IFERROR(VLOOKUP(A17,'درآمد سود سهام'!$A$9:$S$26,13,0),0)</f>
        <v>0</v>
      </c>
      <c r="D17" s="4"/>
      <c r="E17" s="4">
        <f>IFERROR(VLOOKUP(A17,'درآمد ناشی از تغییر قیمت  '!$A$8:$Q$34,9,0),0)</f>
        <v>0</v>
      </c>
      <c r="F17" s="4"/>
      <c r="G17" s="4">
        <f>IFERROR(VLOOKUP(A17,'درآمد ناشی ازفروش'!$A$8:$I$34,9,0),0)</f>
        <v>0</v>
      </c>
      <c r="H17" s="4"/>
      <c r="I17" s="4">
        <f t="shared" si="0"/>
        <v>0</v>
      </c>
      <c r="K17" s="56">
        <f t="shared" si="1"/>
        <v>0</v>
      </c>
      <c r="M17" s="4">
        <f>IFERROR(VLOOKUP(A17,'درآمد سود سهام'!$A$9:$S$26,19,0),0)</f>
        <v>0</v>
      </c>
      <c r="N17" s="4"/>
      <c r="O17" s="4">
        <f>IFERROR(VLOOKUP(A17,'درآمد ناشی از تغییر قیمت  '!$A$8:$Q$34,17,0),0)</f>
        <v>0</v>
      </c>
      <c r="P17" s="4"/>
      <c r="Q17" s="4">
        <f>IFERROR(VLOOKUP(A17,'درآمد ناشی ازفروش'!$A$8:$Q$35,17,0),0)</f>
        <v>235633818</v>
      </c>
      <c r="R17" s="4"/>
      <c r="S17" s="4">
        <f t="shared" si="2"/>
        <v>235633818</v>
      </c>
      <c r="T17" s="65"/>
      <c r="U17" s="57">
        <f>S17/درآمدها!$J$5</f>
        <v>1.4783040457779621E-2</v>
      </c>
      <c r="V17" s="66"/>
      <c r="W17" s="66"/>
      <c r="X17" s="66"/>
    </row>
    <row r="18" spans="1:24" s="60" customFormat="1" ht="30.75">
      <c r="A18" s="118" t="s">
        <v>95</v>
      </c>
      <c r="C18" s="4">
        <f>IFERROR(VLOOKUP(A18,'درآمد سود سهام'!$A$9:$S$26,13,0),0)</f>
        <v>0</v>
      </c>
      <c r="D18" s="4"/>
      <c r="E18" s="4">
        <f>IFERROR(VLOOKUP(A18,'درآمد ناشی از تغییر قیمت  '!$A$8:$Q$34,9,0),0)</f>
        <v>-169564430</v>
      </c>
      <c r="F18" s="4"/>
      <c r="G18" s="4">
        <f>IFERROR(VLOOKUP(A18,'درآمد ناشی ازفروش'!$A$8:$I$34,9,0),0)</f>
        <v>0</v>
      </c>
      <c r="H18" s="4"/>
      <c r="I18" s="4">
        <f t="shared" si="0"/>
        <v>-169564430</v>
      </c>
      <c r="K18" s="56">
        <f t="shared" si="1"/>
        <v>-4.0736226468805384E-2</v>
      </c>
      <c r="M18" s="4">
        <f>IFERROR(VLOOKUP(A18,'درآمد سود سهام'!$A$9:$S$26,19,0),0)</f>
        <v>0</v>
      </c>
      <c r="N18" s="4"/>
      <c r="O18" s="4">
        <f>IFERROR(VLOOKUP(A18,'درآمد ناشی از تغییر قیمت  '!$A$8:$Q$34,17,0),0)</f>
        <v>-147505794</v>
      </c>
      <c r="P18" s="4"/>
      <c r="Q18" s="4">
        <f>IFERROR(VLOOKUP(A18,'درآمد ناشی ازفروش'!$A$8:$Q$35,17,0),0)</f>
        <v>935700892</v>
      </c>
      <c r="R18" s="4"/>
      <c r="S18" s="4">
        <f t="shared" si="2"/>
        <v>788195098</v>
      </c>
      <c r="T18" s="65"/>
      <c r="U18" s="57">
        <f>S18/درآمدها!$J$5</f>
        <v>4.9449268875139021E-2</v>
      </c>
      <c r="V18" s="66"/>
      <c r="W18" s="66"/>
      <c r="X18" s="66"/>
    </row>
    <row r="19" spans="1:24" s="60" customFormat="1" ht="30.75">
      <c r="A19" s="118" t="s">
        <v>125</v>
      </c>
      <c r="C19" s="4">
        <f>IFERROR(VLOOKUP(A19,'درآمد سود سهام'!$A$9:$S$26,13,0),0)</f>
        <v>0</v>
      </c>
      <c r="D19" s="4"/>
      <c r="E19" s="4">
        <f>IFERROR(VLOOKUP(A19,'درآمد ناشی از تغییر قیمت  '!$A$8:$Q$34,9,0),0)</f>
        <v>-301666497</v>
      </c>
      <c r="F19" s="4"/>
      <c r="G19" s="4">
        <f>IFERROR(VLOOKUP(A19,'درآمد ناشی ازفروش'!$A$8:$I$34,9,0),0)</f>
        <v>0</v>
      </c>
      <c r="H19" s="4"/>
      <c r="I19" s="4">
        <f t="shared" si="0"/>
        <v>-301666497</v>
      </c>
      <c r="K19" s="56">
        <f t="shared" si="1"/>
        <v>-7.2472479870001036E-2</v>
      </c>
      <c r="M19" s="4">
        <f>IFERROR(VLOOKUP(A19,'درآمد سود سهام'!$A$9:$S$26,19,0),0)</f>
        <v>0</v>
      </c>
      <c r="N19" s="4"/>
      <c r="O19" s="4">
        <f>IFERROR(VLOOKUP(A19,'درآمد ناشی از تغییر قیمت  '!$A$8:$Q$34,17,0),0)</f>
        <v>-476796420</v>
      </c>
      <c r="P19" s="4"/>
      <c r="Q19" s="4">
        <f>IFERROR(VLOOKUP(A19,'درآمد ناشی ازفروش'!$A$8:$Q$35,17,0),0)</f>
        <v>22648108</v>
      </c>
      <c r="R19" s="4"/>
      <c r="S19" s="4">
        <f t="shared" si="2"/>
        <v>-454148312</v>
      </c>
      <c r="T19" s="65"/>
      <c r="U19" s="57">
        <f>S19/درآمدها!$J$5</f>
        <v>-2.8492059956047235E-2</v>
      </c>
      <c r="V19" s="66"/>
      <c r="W19" s="66"/>
      <c r="X19" s="66"/>
    </row>
    <row r="20" spans="1:24" s="60" customFormat="1" ht="30.75">
      <c r="A20" s="118" t="s">
        <v>141</v>
      </c>
      <c r="C20" s="4">
        <f>IFERROR(VLOOKUP(A20,'درآمد سود سهام'!$A$9:$S$26,13,0),0)</f>
        <v>0</v>
      </c>
      <c r="D20" s="4"/>
      <c r="E20" s="4">
        <f>IFERROR(VLOOKUP(A20,'درآمد ناشی از تغییر قیمت  '!$A$8:$Q$34,9,0),0)</f>
        <v>271475226</v>
      </c>
      <c r="F20" s="4"/>
      <c r="G20" s="4">
        <f>IFERROR(VLOOKUP(A20,'درآمد ناشی ازفروش'!$A$8:$I$34,9,0),0)</f>
        <v>0</v>
      </c>
      <c r="H20" s="4"/>
      <c r="I20" s="4">
        <f t="shared" si="0"/>
        <v>271475226</v>
      </c>
      <c r="K20" s="56">
        <f t="shared" si="1"/>
        <v>6.5219316852043338E-2</v>
      </c>
      <c r="M20" s="4">
        <f>IFERROR(VLOOKUP(A20,'درآمد سود سهام'!$A$9:$S$26,19,0),0)</f>
        <v>0</v>
      </c>
      <c r="N20" s="4"/>
      <c r="O20" s="4">
        <f>IFERROR(VLOOKUP(A20,'درآمد ناشی از تغییر قیمت  '!$A$8:$Q$34,17,0),0)</f>
        <v>-102044056</v>
      </c>
      <c r="P20" s="4"/>
      <c r="Q20" s="4">
        <f>IFERROR(VLOOKUP(A20,'درآمد ناشی ازفروش'!$A$8:$Q$35,17,0),0)</f>
        <v>-18420767</v>
      </c>
      <c r="R20" s="4"/>
      <c r="S20" s="4">
        <f t="shared" si="2"/>
        <v>-120464823</v>
      </c>
      <c r="T20" s="65"/>
      <c r="U20" s="57">
        <f>S20/درآمدها!$J$5</f>
        <v>-7.5576433266818302E-3</v>
      </c>
      <c r="V20" s="66"/>
      <c r="W20" s="66"/>
      <c r="X20" s="66"/>
    </row>
    <row r="21" spans="1:24" s="60" customFormat="1" ht="30.75">
      <c r="A21" s="118" t="s">
        <v>111</v>
      </c>
      <c r="C21" s="4">
        <f>IFERROR(VLOOKUP(A21,'درآمد سود سهام'!$A$9:$S$26,13,0),0)</f>
        <v>0</v>
      </c>
      <c r="D21" s="4"/>
      <c r="E21" s="4">
        <f>IFERROR(VLOOKUP(A21,'درآمد ناشی از تغییر قیمت  '!$A$8:$Q$34,9,0),0)</f>
        <v>12226665</v>
      </c>
      <c r="F21" s="4"/>
      <c r="G21" s="4">
        <f>IFERROR(VLOOKUP(A21,'درآمد ناشی ازفروش'!$A$8:$I$34,9,0),0)</f>
        <v>0</v>
      </c>
      <c r="H21" s="4"/>
      <c r="I21" s="4">
        <f t="shared" si="0"/>
        <v>12226665</v>
      </c>
      <c r="K21" s="56">
        <f t="shared" si="1"/>
        <v>2.9373388888118599E-3</v>
      </c>
      <c r="M21" s="4">
        <f>IFERROR(VLOOKUP(A21,'درآمد سود سهام'!$A$9:$S$26,19,0),0)</f>
        <v>0</v>
      </c>
      <c r="N21" s="4"/>
      <c r="O21" s="4">
        <f>IFERROR(VLOOKUP(A21,'درآمد ناشی از تغییر قیمت  '!$A$8:$Q$34,17,0),0)</f>
        <v>279170915</v>
      </c>
      <c r="P21" s="4"/>
      <c r="Q21" s="4">
        <f>IFERROR(VLOOKUP(A21,'درآمد ناشی ازفروش'!$A$8:$Q$35,17,0),0)</f>
        <v>240079420</v>
      </c>
      <c r="R21" s="4"/>
      <c r="S21" s="4">
        <f t="shared" si="2"/>
        <v>519250335</v>
      </c>
      <c r="T21" s="65"/>
      <c r="U21" s="57">
        <f>S21/درآمدها!$J$5</f>
        <v>3.2576388122780499E-2</v>
      </c>
      <c r="V21" s="66"/>
      <c r="W21" s="66"/>
      <c r="X21" s="66"/>
    </row>
    <row r="22" spans="1:24" s="60" customFormat="1" ht="30.75">
      <c r="A22" s="118" t="s">
        <v>96</v>
      </c>
      <c r="C22" s="4">
        <f>IFERROR(VLOOKUP(A22,'درآمد سود سهام'!$A$9:$S$26,13,0),0)</f>
        <v>0</v>
      </c>
      <c r="D22" s="4"/>
      <c r="E22" s="4">
        <f>IFERROR(VLOOKUP(A22,'درآمد ناشی از تغییر قیمت  '!$A$8:$Q$34,9,0),0)</f>
        <v>0</v>
      </c>
      <c r="F22" s="4"/>
      <c r="G22" s="4">
        <f>IFERROR(VLOOKUP(A22,'درآمد ناشی ازفروش'!$A$8:$I$34,9,0),0)</f>
        <v>0</v>
      </c>
      <c r="H22" s="4"/>
      <c r="I22" s="4">
        <f t="shared" si="0"/>
        <v>0</v>
      </c>
      <c r="K22" s="56">
        <f t="shared" si="1"/>
        <v>0</v>
      </c>
      <c r="M22" s="4">
        <f>IFERROR(VLOOKUP(A22,'درآمد سود سهام'!$A$9:$S$26,19,0),0)</f>
        <v>0</v>
      </c>
      <c r="N22" s="4"/>
      <c r="O22" s="4">
        <f>IFERROR(VLOOKUP(A22,'درآمد ناشی از تغییر قیمت  '!$A$8:$Q$34,17,0),0)</f>
        <v>0</v>
      </c>
      <c r="P22" s="4"/>
      <c r="Q22" s="4">
        <f>IFERROR(VLOOKUP(A22,'درآمد ناشی ازفروش'!$A$8:$Q$35,17,0),0)</f>
        <v>1167277212</v>
      </c>
      <c r="R22" s="4"/>
      <c r="S22" s="4">
        <f t="shared" ref="S22:S31" si="3">Q22+O22+M22</f>
        <v>1167277212</v>
      </c>
      <c r="T22" s="65"/>
      <c r="U22" s="57">
        <f>S22/درآمدها!$J$5</f>
        <v>7.3231874766126304E-2</v>
      </c>
      <c r="V22" s="66"/>
      <c r="W22" s="66"/>
      <c r="X22" s="66"/>
    </row>
    <row r="23" spans="1:24" s="60" customFormat="1" ht="30.75">
      <c r="A23" s="118" t="s">
        <v>97</v>
      </c>
      <c r="C23" s="4">
        <f>IFERROR(VLOOKUP(A23,'درآمد سود سهام'!$A$9:$S$26,13,0),0)</f>
        <v>0</v>
      </c>
      <c r="D23" s="4"/>
      <c r="E23" s="4">
        <f>IFERROR(VLOOKUP(A23,'درآمد ناشی از تغییر قیمت  '!$A$8:$Q$34,9,0),0)</f>
        <v>561898849</v>
      </c>
      <c r="F23" s="4"/>
      <c r="G23" s="4">
        <f>IFERROR(VLOOKUP(A23,'درآمد ناشی ازفروش'!$A$8:$I$34,9,0),0)</f>
        <v>0</v>
      </c>
      <c r="H23" s="4"/>
      <c r="I23" s="4">
        <f t="shared" si="0"/>
        <v>561898849</v>
      </c>
      <c r="K23" s="56">
        <f t="shared" si="1"/>
        <v>0.13499080417647191</v>
      </c>
      <c r="M23" s="4">
        <f>IFERROR(VLOOKUP(A23,'درآمد سود سهام'!$A$9:$S$26,19,0),0)</f>
        <v>0</v>
      </c>
      <c r="N23" s="4"/>
      <c r="O23" s="4">
        <f>IFERROR(VLOOKUP(A23,'درآمد ناشی از تغییر قیمت  '!$A$8:$Q$34,17,0),0)</f>
        <v>367096095</v>
      </c>
      <c r="P23" s="4"/>
      <c r="Q23" s="4">
        <f>IFERROR(VLOOKUP(A23,'درآمد ناشی ازفروش'!$A$8:$Q$35,17,0),0)</f>
        <v>-226806725</v>
      </c>
      <c r="R23" s="4"/>
      <c r="S23" s="4">
        <f t="shared" si="3"/>
        <v>140289370</v>
      </c>
      <c r="T23" s="65"/>
      <c r="U23" s="57">
        <f>S23/درآمدها!$J$5</f>
        <v>8.8013827985693235E-3</v>
      </c>
      <c r="V23" s="66"/>
      <c r="W23" s="66"/>
      <c r="X23" s="66"/>
    </row>
    <row r="24" spans="1:24" s="60" customFormat="1" ht="30.75">
      <c r="A24" s="118" t="s">
        <v>98</v>
      </c>
      <c r="C24" s="4">
        <f>IFERROR(VLOOKUP(A24,'درآمد سود سهام'!$A$9:$S$26,13,0),0)</f>
        <v>0</v>
      </c>
      <c r="D24" s="4"/>
      <c r="E24" s="4">
        <f>IFERROR(VLOOKUP(A24,'درآمد ناشی از تغییر قیمت  '!$A$8:$Q$34,9,0),0)</f>
        <v>40492884</v>
      </c>
      <c r="F24" s="4"/>
      <c r="G24" s="4">
        <f>IFERROR(VLOOKUP(A24,'درآمد ناشی ازفروش'!$A$8:$I$34,9,0),0)</f>
        <v>0</v>
      </c>
      <c r="H24" s="4"/>
      <c r="I24" s="4">
        <f t="shared" si="0"/>
        <v>40492884</v>
      </c>
      <c r="K24" s="56">
        <f t="shared" si="1"/>
        <v>9.7280266444977059E-3</v>
      </c>
      <c r="M24" s="4">
        <f>IFERROR(VLOOKUP(A24,'درآمد سود سهام'!$A$9:$S$26,19,0),0)</f>
        <v>0</v>
      </c>
      <c r="N24" s="4"/>
      <c r="O24" s="4">
        <f>IFERROR(VLOOKUP(A24,'درآمد ناشی از تغییر قیمت  '!$A$8:$Q$34,17,0),0)</f>
        <v>31730652</v>
      </c>
      <c r="P24" s="4"/>
      <c r="Q24" s="4">
        <f>IFERROR(VLOOKUP(A24,'درآمد ناشی ازفروش'!$A$8:$Q$35,17,0),0)</f>
        <v>129052528</v>
      </c>
      <c r="R24" s="4"/>
      <c r="S24" s="4">
        <f t="shared" si="3"/>
        <v>160783180</v>
      </c>
      <c r="T24" s="65"/>
      <c r="U24" s="57">
        <f>S24/درآمدها!$J$5</f>
        <v>1.0087110055104497E-2</v>
      </c>
      <c r="V24" s="66"/>
      <c r="W24" s="66"/>
      <c r="X24" s="66"/>
    </row>
    <row r="25" spans="1:24" s="60" customFormat="1" ht="30.75">
      <c r="A25" s="118" t="s">
        <v>142</v>
      </c>
      <c r="C25" s="4">
        <f>IFERROR(VLOOKUP(A25,'درآمد سود سهام'!$A$9:$S$26,13,0),0)</f>
        <v>0</v>
      </c>
      <c r="D25" s="4"/>
      <c r="E25" s="4">
        <f>IFERROR(VLOOKUP(A25,'درآمد ناشی از تغییر قیمت  '!$A$8:$Q$34,9,0),0)</f>
        <v>-1342453477</v>
      </c>
      <c r="F25" s="4"/>
      <c r="G25" s="4">
        <f>IFERROR(VLOOKUP(A25,'درآمد ناشی ازفروش'!$A$8:$I$34,9,0),0)</f>
        <v>1633295555</v>
      </c>
      <c r="H25" s="4"/>
      <c r="I25" s="4">
        <f t="shared" si="0"/>
        <v>290842078</v>
      </c>
      <c r="K25" s="56">
        <f t="shared" si="1"/>
        <v>6.9872017120960805E-2</v>
      </c>
      <c r="M25" s="4">
        <f>IFERROR(VLOOKUP(A25,'درآمد سود سهام'!$A$9:$S$26,19,0),0)</f>
        <v>0</v>
      </c>
      <c r="N25" s="4"/>
      <c r="O25" s="4">
        <f>IFERROR(VLOOKUP(A25,'درآمد ناشی از تغییر قیمت  '!$A$8:$Q$34,17,0),0)</f>
        <v>818887346</v>
      </c>
      <c r="P25" s="4"/>
      <c r="Q25" s="4">
        <f>IFERROR(VLOOKUP(A25,'درآمد ناشی ازفروش'!$A$8:$Q$35,17,0),0)</f>
        <v>1633295555</v>
      </c>
      <c r="R25" s="4"/>
      <c r="S25" s="4">
        <f t="shared" si="3"/>
        <v>2452182901</v>
      </c>
      <c r="T25" s="65"/>
      <c r="U25" s="57">
        <f>S25/درآمدها!$J$5</f>
        <v>0.15384344803749009</v>
      </c>
      <c r="V25" s="66"/>
      <c r="W25" s="66"/>
      <c r="X25" s="66"/>
    </row>
    <row r="26" spans="1:24" s="60" customFormat="1" ht="30.75">
      <c r="A26" s="118" t="s">
        <v>112</v>
      </c>
      <c r="C26" s="4">
        <f>IFERROR(VLOOKUP(A26,'درآمد سود سهام'!$A$9:$S$26,13,0),0)</f>
        <v>0</v>
      </c>
      <c r="D26" s="4"/>
      <c r="E26" s="4">
        <f>IFERROR(VLOOKUP(A26,'درآمد ناشی از تغییر قیمت  '!$A$8:$Q$34,9,0),0)</f>
        <v>16372720</v>
      </c>
      <c r="F26" s="4"/>
      <c r="G26" s="4">
        <f>IFERROR(VLOOKUP(A26,'درآمد ناشی ازفروش'!$A$8:$I$34,9,0),0)</f>
        <v>0</v>
      </c>
      <c r="H26" s="4"/>
      <c r="I26" s="4">
        <f t="shared" si="0"/>
        <v>16372720</v>
      </c>
      <c r="K26" s="56">
        <f t="shared" si="1"/>
        <v>3.9333887999407615E-3</v>
      </c>
      <c r="M26" s="4">
        <f>IFERROR(VLOOKUP(A26,'درآمد سود سهام'!$A$9:$S$26,19,0),0)</f>
        <v>0</v>
      </c>
      <c r="N26" s="4"/>
      <c r="O26" s="4">
        <f>IFERROR(VLOOKUP(A26,'درآمد ناشی از تغییر قیمت  '!$A$8:$Q$34,17,0),0)</f>
        <v>181663376</v>
      </c>
      <c r="P26" s="4"/>
      <c r="Q26" s="4">
        <f>IFERROR(VLOOKUP(A26,'درآمد ناشی ازفروش'!$A$8:$Q$35,17,0),0)</f>
        <v>242998099</v>
      </c>
      <c r="R26" s="4"/>
      <c r="S26" s="4">
        <f t="shared" si="3"/>
        <v>424661475</v>
      </c>
      <c r="T26" s="65"/>
      <c r="U26" s="57">
        <f>S26/درآمدها!$J$5</f>
        <v>2.6642134049643794E-2</v>
      </c>
      <c r="V26" s="66"/>
      <c r="W26" s="66"/>
      <c r="X26" s="66"/>
    </row>
    <row r="27" spans="1:24" s="60" customFormat="1" ht="30.75">
      <c r="A27" s="118" t="s">
        <v>143</v>
      </c>
      <c r="C27" s="4">
        <f>IFERROR(VLOOKUP(A27,'درآمد سود سهام'!$A$9:$S$26,13,0),0)</f>
        <v>0</v>
      </c>
      <c r="D27" s="4"/>
      <c r="E27" s="4">
        <f>IFERROR(VLOOKUP(A27,'درآمد ناشی از تغییر قیمت  '!$A$8:$Q$34,9,0),0)</f>
        <v>-453286800</v>
      </c>
      <c r="F27" s="4"/>
      <c r="G27" s="4">
        <f>IFERROR(VLOOKUP(A27,'درآمد ناشی ازفروش'!$A$8:$I$34,9,0),0)</f>
        <v>0</v>
      </c>
      <c r="H27" s="4"/>
      <c r="I27" s="4">
        <f t="shared" si="0"/>
        <v>-453286800</v>
      </c>
      <c r="K27" s="56">
        <f t="shared" si="1"/>
        <v>-0.10889780209280975</v>
      </c>
      <c r="M27" s="4">
        <f>IFERROR(VLOOKUP(A27,'درآمد سود سهام'!$A$9:$S$26,19,0),0)</f>
        <v>0</v>
      </c>
      <c r="N27" s="4"/>
      <c r="O27" s="4">
        <f>IFERROR(VLOOKUP(A27,'درآمد ناشی از تغییر قیمت  '!$A$8:$Q$34,17,0),0)</f>
        <v>316446480</v>
      </c>
      <c r="P27" s="4"/>
      <c r="Q27" s="4">
        <f>IFERROR(VLOOKUP(A27,'درآمد ناشی ازفروش'!$A$8:$Q$35,17,0),0)</f>
        <v>710090322</v>
      </c>
      <c r="R27" s="4"/>
      <c r="S27" s="4">
        <f t="shared" si="3"/>
        <v>1026536802</v>
      </c>
      <c r="T27" s="65"/>
      <c r="U27" s="57">
        <f>S27/درآمدها!$J$5</f>
        <v>6.4402194914847527E-2</v>
      </c>
      <c r="V27" s="66"/>
      <c r="W27" s="66"/>
      <c r="X27" s="66"/>
    </row>
    <row r="28" spans="1:24" s="60" customFormat="1" ht="30.75">
      <c r="A28" s="118" t="s">
        <v>123</v>
      </c>
      <c r="C28" s="4">
        <f>IFERROR(VLOOKUP(A28,'درآمد سود سهام'!$A$9:$S$26,13,0),0)</f>
        <v>0</v>
      </c>
      <c r="D28" s="4"/>
      <c r="E28" s="4">
        <f>IFERROR(VLOOKUP(A28,'درآمد ناشی از تغییر قیمت  '!$A$8:$Q$34,9,0),0)</f>
        <v>55990381</v>
      </c>
      <c r="F28" s="4"/>
      <c r="G28" s="4">
        <f>IFERROR(VLOOKUP(A28,'درآمد ناشی ازفروش'!$A$8:$I$34,9,0),0)</f>
        <v>0</v>
      </c>
      <c r="H28" s="4"/>
      <c r="I28" s="4">
        <f t="shared" si="0"/>
        <v>55990381</v>
      </c>
      <c r="K28" s="56">
        <f t="shared" si="1"/>
        <v>1.3451151520933359E-2</v>
      </c>
      <c r="M28" s="4">
        <f>IFERROR(VLOOKUP(A28,'درآمد سود سهام'!$A$9:$S$26,19,0),0)</f>
        <v>0</v>
      </c>
      <c r="N28" s="4"/>
      <c r="O28" s="4">
        <f>IFERROR(VLOOKUP(A28,'درآمد ناشی از تغییر قیمت  '!$A$8:$Q$34,17,0),0)</f>
        <v>-66203445</v>
      </c>
      <c r="P28" s="4"/>
      <c r="Q28" s="4">
        <f>IFERROR(VLOOKUP(A28,'درآمد ناشی ازفروش'!$A$8:$Q$35,17,0),0)</f>
        <v>-3343439</v>
      </c>
      <c r="R28" s="4"/>
      <c r="S28" s="4">
        <f t="shared" si="3"/>
        <v>-69546884</v>
      </c>
      <c r="T28" s="65"/>
      <c r="U28" s="57">
        <f>S28/درآمدها!$J$5</f>
        <v>-4.3631869508837058E-3</v>
      </c>
      <c r="V28" s="66"/>
      <c r="W28" s="66"/>
      <c r="X28" s="66"/>
    </row>
    <row r="29" spans="1:24" s="60" customFormat="1" ht="30.75">
      <c r="A29" s="118" t="s">
        <v>116</v>
      </c>
      <c r="C29" s="4">
        <f>IFERROR(VLOOKUP(A29,'درآمد سود سهام'!$A$9:$S$26,13,0),0)</f>
        <v>0</v>
      </c>
      <c r="D29" s="4"/>
      <c r="E29" s="4">
        <f>IFERROR(VLOOKUP(A29,'درآمد ناشی از تغییر قیمت  '!$A$8:$Q$34,9,0),0)</f>
        <v>0</v>
      </c>
      <c r="F29" s="4"/>
      <c r="G29" s="4">
        <f>IFERROR(VLOOKUP(A29,'درآمد ناشی ازفروش'!$A$8:$I$34,9,0),0)</f>
        <v>0</v>
      </c>
      <c r="H29" s="4"/>
      <c r="I29" s="4">
        <f t="shared" si="0"/>
        <v>0</v>
      </c>
      <c r="K29" s="56">
        <f t="shared" si="1"/>
        <v>0</v>
      </c>
      <c r="M29" s="4">
        <f>IFERROR(VLOOKUP(A29,'درآمد سود سهام'!$A$9:$S$26,19,0),0)</f>
        <v>0</v>
      </c>
      <c r="N29" s="4"/>
      <c r="O29" s="4">
        <f>IFERROR(VLOOKUP(A29,'درآمد ناشی از تغییر قیمت  '!$A$8:$Q$34,17,0),0)</f>
        <v>0</v>
      </c>
      <c r="P29" s="4"/>
      <c r="Q29" s="4">
        <f>IFERROR(VLOOKUP(A29,'درآمد ناشی ازفروش'!$A$8:$Q$35,17,0),0)</f>
        <v>607602345</v>
      </c>
      <c r="R29" s="4"/>
      <c r="S29" s="4">
        <f t="shared" si="3"/>
        <v>607602345</v>
      </c>
      <c r="T29" s="65"/>
      <c r="U29" s="57">
        <f>S29/درآمدها!$J$5</f>
        <v>3.8119358777171666E-2</v>
      </c>
      <c r="V29" s="66"/>
      <c r="W29" s="66"/>
      <c r="X29" s="66"/>
    </row>
    <row r="30" spans="1:24" s="60" customFormat="1" ht="30.75">
      <c r="A30" s="118" t="s">
        <v>113</v>
      </c>
      <c r="C30" s="4">
        <f>IFERROR(VLOOKUP(A30,'درآمد سود سهام'!$A$9:$S$26,13,0),0)</f>
        <v>0</v>
      </c>
      <c r="D30" s="4"/>
      <c r="E30" s="4">
        <f>IFERROR(VLOOKUP(A30,'درآمد ناشی از تغییر قیمت  '!$A$8:$Q$34,9,0),0)</f>
        <v>0</v>
      </c>
      <c r="F30" s="4"/>
      <c r="G30" s="4">
        <f>IFERROR(VLOOKUP(A30,'درآمد ناشی ازفروش'!$A$8:$I$34,9,0),0)</f>
        <v>0</v>
      </c>
      <c r="H30" s="4"/>
      <c r="I30" s="4">
        <f t="shared" si="0"/>
        <v>0</v>
      </c>
      <c r="K30" s="56">
        <f t="shared" si="1"/>
        <v>0</v>
      </c>
      <c r="M30" s="4">
        <f>IFERROR(VLOOKUP(A30,'درآمد سود سهام'!$A$9:$S$26,19,0),0)</f>
        <v>0</v>
      </c>
      <c r="N30" s="4"/>
      <c r="O30" s="4">
        <f>IFERROR(VLOOKUP(A30,'درآمد ناشی از تغییر قیمت  '!$A$8:$Q$34,17,0),0)</f>
        <v>0</v>
      </c>
      <c r="P30" s="4"/>
      <c r="Q30" s="4">
        <f>IFERROR(VLOOKUP(A30,'درآمد ناشی ازفروش'!$A$8:$Q$35,17,0),0)</f>
        <v>94815083</v>
      </c>
      <c r="R30" s="4"/>
      <c r="S30" s="4">
        <f t="shared" si="3"/>
        <v>94815083</v>
      </c>
      <c r="T30" s="65"/>
      <c r="U30" s="57">
        <f>S30/درآمدها!$J$5</f>
        <v>5.9484467038459343E-3</v>
      </c>
      <c r="V30" s="66"/>
      <c r="W30" s="66"/>
      <c r="X30" s="66"/>
    </row>
    <row r="31" spans="1:24" s="60" customFormat="1" ht="30.75">
      <c r="A31" s="118" t="s">
        <v>114</v>
      </c>
      <c r="C31" s="4">
        <f>IFERROR(VLOOKUP(A31,'درآمد سود سهام'!$A$9:$S$26,13,0),0)</f>
        <v>154480194</v>
      </c>
      <c r="D31" s="4"/>
      <c r="E31" s="4">
        <f>IFERROR(VLOOKUP(A31,'درآمد ناشی از تغییر قیمت  '!$A$8:$Q$34,9,0),0)</f>
        <v>-132302091</v>
      </c>
      <c r="F31" s="4"/>
      <c r="G31" s="4">
        <f>IFERROR(VLOOKUP(A31,'درآمد ناشی ازفروش'!$A$8:$I$34,9,0),0)</f>
        <v>0</v>
      </c>
      <c r="H31" s="4"/>
      <c r="I31" s="4">
        <f t="shared" si="0"/>
        <v>22178103</v>
      </c>
      <c r="K31" s="56">
        <f t="shared" si="1"/>
        <v>5.3280763333235165E-3</v>
      </c>
      <c r="M31" s="4">
        <f>IFERROR(VLOOKUP(A31,'درآمد سود سهام'!$A$9:$S$26,19,0),0)</f>
        <v>154480194</v>
      </c>
      <c r="N31" s="4"/>
      <c r="O31" s="4">
        <f>IFERROR(VLOOKUP(A31,'درآمد ناشی از تغییر قیمت  '!$A$8:$Q$34,17,0),0)</f>
        <v>-40336423</v>
      </c>
      <c r="P31" s="4"/>
      <c r="Q31" s="4">
        <f>IFERROR(VLOOKUP(A31,'درآمد ناشی ازفروش'!$A$8:$Q$35,17,0),0)</f>
        <v>67480026</v>
      </c>
      <c r="R31" s="4"/>
      <c r="S31" s="4">
        <f t="shared" si="3"/>
        <v>181623797</v>
      </c>
      <c r="T31" s="65"/>
      <c r="U31" s="57">
        <f>S31/درآمدها!$J$5</f>
        <v>1.1394595062524314E-2</v>
      </c>
      <c r="V31" s="66"/>
      <c r="W31" s="66"/>
      <c r="X31" s="66"/>
    </row>
    <row r="32" spans="1:24" s="60" customFormat="1" ht="30.75">
      <c r="A32" s="118" t="s">
        <v>99</v>
      </c>
      <c r="C32" s="4">
        <f>IFERROR(VLOOKUP(A32,'درآمد سود سهام'!$A$9:$S$26,13,0),0)</f>
        <v>0</v>
      </c>
      <c r="D32" s="4"/>
      <c r="E32" s="4">
        <f>IFERROR(VLOOKUP(A32,'درآمد ناشی از تغییر قیمت  '!$A$8:$Q$34,9,0),0)</f>
        <v>782716322</v>
      </c>
      <c r="F32" s="4"/>
      <c r="G32" s="4">
        <f>IFERROR(VLOOKUP(A32,'درآمد ناشی ازفروش'!$A$8:$I$34,9,0),0)</f>
        <v>0</v>
      </c>
      <c r="H32" s="4"/>
      <c r="I32" s="4">
        <f t="shared" si="0"/>
        <v>782716322</v>
      </c>
      <c r="K32" s="56">
        <f t="shared" si="1"/>
        <v>0.18804008219071888</v>
      </c>
      <c r="M32" s="4">
        <f>IFERROR(VLOOKUP(A32,'درآمد سود سهام'!$A$9:$S$26,19,0),0)</f>
        <v>0</v>
      </c>
      <c r="N32" s="4"/>
      <c r="O32" s="4">
        <f>IFERROR(VLOOKUP(A32,'درآمد ناشی از تغییر قیمت  '!$A$8:$Q$34,17,0),0)</f>
        <v>1058092960</v>
      </c>
      <c r="P32" s="4"/>
      <c r="Q32" s="4">
        <f>IFERROR(VLOOKUP(A32,'درآمد ناشی ازفروش'!$A$8:$Q$35,17,0),0)</f>
        <v>-105340635</v>
      </c>
      <c r="R32" s="4"/>
      <c r="S32" s="4">
        <f t="shared" si="2"/>
        <v>952752325</v>
      </c>
      <c r="T32" s="65"/>
      <c r="U32" s="57">
        <f>S32/درآمدها!$J$5</f>
        <v>5.9773152624122049E-2</v>
      </c>
      <c r="V32" s="66"/>
      <c r="W32" s="66"/>
      <c r="X32" s="66"/>
    </row>
    <row r="33" spans="1:24" s="60" customFormat="1" ht="30.75">
      <c r="A33" s="118" t="s">
        <v>100</v>
      </c>
      <c r="C33" s="4">
        <f>IFERROR(VLOOKUP(A33,'درآمد سود سهام'!$A$9:$S$26,13,0),0)</f>
        <v>0</v>
      </c>
      <c r="D33" s="4"/>
      <c r="E33" s="4">
        <f>IFERROR(VLOOKUP(A33,'درآمد ناشی از تغییر قیمت  '!$A$8:$Q$34,9,0),0)</f>
        <v>563388813</v>
      </c>
      <c r="F33" s="4"/>
      <c r="G33" s="4">
        <f>IFERROR(VLOOKUP(A33,'درآمد ناشی ازفروش'!$A$8:$I$34,9,0),0)</f>
        <v>0</v>
      </c>
      <c r="H33" s="4"/>
      <c r="I33" s="4">
        <f t="shared" si="0"/>
        <v>563388813</v>
      </c>
      <c r="K33" s="56">
        <f t="shared" si="1"/>
        <v>0.1353487537236403</v>
      </c>
      <c r="M33" s="4">
        <f>IFERROR(VLOOKUP(A33,'درآمد سود سهام'!$A$9:$S$26,19,0),0)</f>
        <v>0</v>
      </c>
      <c r="N33" s="4"/>
      <c r="O33" s="4">
        <f>IFERROR(VLOOKUP(A33,'درآمد ناشی از تغییر قیمت  '!$A$8:$Q$34,17,0),0)</f>
        <v>-215326803</v>
      </c>
      <c r="P33" s="4"/>
      <c r="Q33" s="4">
        <f>IFERROR(VLOOKUP(A33,'درآمد ناشی ازفروش'!$A$8:$Q$35,17,0),0)</f>
        <v>43104211</v>
      </c>
      <c r="R33" s="4"/>
      <c r="S33" s="4">
        <f t="shared" si="2"/>
        <v>-172222592</v>
      </c>
      <c r="T33" s="65"/>
      <c r="U33" s="57">
        <f>S33/درآمدها!$J$5</f>
        <v>-1.0804788408086961E-2</v>
      </c>
      <c r="V33" s="66"/>
      <c r="W33" s="66"/>
      <c r="X33" s="66"/>
    </row>
    <row r="34" spans="1:24" s="60" customFormat="1" ht="30.75">
      <c r="A34" s="118" t="s">
        <v>115</v>
      </c>
      <c r="C34" s="4">
        <f>IFERROR(VLOOKUP(A34,'درآمد سود سهام'!$A$9:$S$26,13,0),0)</f>
        <v>0</v>
      </c>
      <c r="D34" s="4"/>
      <c r="E34" s="4">
        <f>IFERROR(VLOOKUP(A34,'درآمد ناشی از تغییر قیمت  '!$A$8:$Q$34,9,0),0)</f>
        <v>0</v>
      </c>
      <c r="F34" s="4"/>
      <c r="G34" s="4">
        <f>IFERROR(VLOOKUP(A34,'درآمد ناشی ازفروش'!$A$8:$I$34,9,0),0)</f>
        <v>0</v>
      </c>
      <c r="H34" s="4"/>
      <c r="I34" s="4">
        <f t="shared" si="0"/>
        <v>0</v>
      </c>
      <c r="K34" s="56">
        <f t="shared" si="1"/>
        <v>0</v>
      </c>
      <c r="M34" s="4">
        <f>IFERROR(VLOOKUP(A34,'درآمد سود سهام'!$A$9:$S$26,19,0),0)</f>
        <v>0</v>
      </c>
      <c r="N34" s="4"/>
      <c r="O34" s="4">
        <f>IFERROR(VLOOKUP(A34,'درآمد ناشی از تغییر قیمت  '!$A$8:$Q$34,17,0),0)</f>
        <v>0</v>
      </c>
      <c r="P34" s="4"/>
      <c r="Q34" s="4">
        <f>IFERROR(VLOOKUP(A34,'درآمد ناشی ازفروش'!$A$8:$Q$35,17,0),0)</f>
        <v>-7895697</v>
      </c>
      <c r="R34" s="4"/>
      <c r="S34" s="4">
        <f t="shared" si="2"/>
        <v>-7895697</v>
      </c>
      <c r="T34" s="65"/>
      <c r="U34" s="57">
        <f>S34/درآمدها!$J$5</f>
        <v>-4.9535507756942251E-4</v>
      </c>
      <c r="V34" s="66"/>
      <c r="W34" s="66"/>
      <c r="X34" s="66"/>
    </row>
    <row r="35" spans="1:24" s="60" customFormat="1" ht="30.75">
      <c r="A35" s="118" t="s">
        <v>101</v>
      </c>
      <c r="C35" s="4">
        <f>IFERROR(VLOOKUP(A35,'درآمد سود سهام'!$A$9:$S$26,13,0),0)</f>
        <v>0</v>
      </c>
      <c r="D35" s="4"/>
      <c r="E35" s="4">
        <f>IFERROR(VLOOKUP(A35,'درآمد ناشی از تغییر قیمت  '!$A$8:$Q$34,9,0),0)</f>
        <v>431457220</v>
      </c>
      <c r="F35" s="4"/>
      <c r="G35" s="4">
        <f>IFERROR(VLOOKUP(A35,'درآمد ناشی ازفروش'!$A$8:$I$34,9,0),0)</f>
        <v>0</v>
      </c>
      <c r="H35" s="4"/>
      <c r="I35" s="4">
        <f t="shared" si="0"/>
        <v>431457220</v>
      </c>
      <c r="K35" s="56">
        <f t="shared" si="1"/>
        <v>0.10365345506437398</v>
      </c>
      <c r="M35" s="4">
        <f>IFERROR(VLOOKUP(A35,'درآمد سود سهام'!$A$9:$S$26,19,0),0)</f>
        <v>0</v>
      </c>
      <c r="N35" s="4"/>
      <c r="O35" s="4">
        <f>IFERROR(VLOOKUP(A35,'درآمد ناشی از تغییر قیمت  '!$A$8:$Q$34,17,0),0)</f>
        <v>1952433349</v>
      </c>
      <c r="P35" s="4"/>
      <c r="Q35" s="4">
        <f>IFERROR(VLOOKUP(A35,'درآمد ناشی ازفروش'!$A$8:$Q$35,17,0),0)</f>
        <v>-29122557</v>
      </c>
      <c r="R35" s="4"/>
      <c r="S35" s="4">
        <f t="shared" si="2"/>
        <v>1923310792</v>
      </c>
      <c r="T35" s="65"/>
      <c r="U35" s="57">
        <f>S35/درآمدها!$J$5</f>
        <v>0.12066341534651942</v>
      </c>
      <c r="V35" s="66"/>
      <c r="W35" s="66"/>
      <c r="X35" s="66"/>
    </row>
    <row r="36" spans="1:24" s="60" customFormat="1" ht="30.75">
      <c r="A36" s="118" t="s">
        <v>102</v>
      </c>
      <c r="C36" s="4">
        <f>IFERROR(VLOOKUP(A36,'درآمد سود سهام'!$A$9:$S$26,13,0),0)</f>
        <v>0</v>
      </c>
      <c r="D36" s="4"/>
      <c r="E36" s="4">
        <f>IFERROR(VLOOKUP(A36,'درآمد ناشی از تغییر قیمت  '!$A$8:$Q$34,9,0),0)</f>
        <v>-179058098</v>
      </c>
      <c r="F36" s="4"/>
      <c r="G36" s="4">
        <f>IFERROR(VLOOKUP(A36,'درآمد ناشی ازفروش'!$A$8:$I$34,9,0),0)</f>
        <v>0</v>
      </c>
      <c r="H36" s="4"/>
      <c r="I36" s="4">
        <f t="shared" si="0"/>
        <v>-179058098</v>
      </c>
      <c r="K36" s="56">
        <f t="shared" si="1"/>
        <v>-4.3016989065463487E-2</v>
      </c>
      <c r="M36" s="4">
        <f>IFERROR(VLOOKUP(A36,'درآمد سود سهام'!$A$9:$S$26,19,0),0)</f>
        <v>0</v>
      </c>
      <c r="N36" s="4"/>
      <c r="O36" s="4">
        <f>IFERROR(VLOOKUP(A36,'درآمد ناشی از تغییر قیمت  '!$A$8:$Q$34,17,0),0)</f>
        <v>-910116324</v>
      </c>
      <c r="P36" s="4"/>
      <c r="Q36" s="4">
        <f>IFERROR(VLOOKUP(A36,'درآمد ناشی ازفروش'!$A$8:$Q$35,17,0),0)</f>
        <v>-223503706</v>
      </c>
      <c r="R36" s="4"/>
      <c r="S36" s="4">
        <f t="shared" si="2"/>
        <v>-1133620030</v>
      </c>
      <c r="T36" s="65"/>
      <c r="U36" s="57">
        <f>S36/درآمدها!$J$5</f>
        <v>-7.1120312480950201E-2</v>
      </c>
      <c r="V36" s="66"/>
      <c r="W36" s="66"/>
      <c r="X36" s="66"/>
    </row>
    <row r="37" spans="1:24" s="60" customFormat="1" ht="30.75">
      <c r="A37" s="118" t="s">
        <v>124</v>
      </c>
      <c r="C37" s="4">
        <f>IFERROR(VLOOKUP(A37,'درآمد سود سهام'!$A$9:$S$26,13,0),0)</f>
        <v>0</v>
      </c>
      <c r="D37" s="4"/>
      <c r="E37" s="4">
        <f>IFERROR(VLOOKUP(A37,'درآمد ناشی از تغییر قیمت  '!$A$8:$Q$34,9,0),0)</f>
        <v>0</v>
      </c>
      <c r="F37" s="4"/>
      <c r="G37" s="4">
        <f>IFERROR(VLOOKUP(A37,'درآمد ناشی ازفروش'!$A$8:$I$34,9,0),0)</f>
        <v>0</v>
      </c>
      <c r="H37" s="4"/>
      <c r="I37" s="4">
        <f t="shared" si="0"/>
        <v>0</v>
      </c>
      <c r="K37" s="56">
        <f t="shared" si="1"/>
        <v>0</v>
      </c>
      <c r="M37" s="4">
        <f>IFERROR(VLOOKUP(A37,'درآمد سود سهام'!$A$9:$S$26,19,0),0)</f>
        <v>0</v>
      </c>
      <c r="N37" s="4"/>
      <c r="O37" s="4">
        <f>IFERROR(VLOOKUP(A37,'درآمد ناشی از تغییر قیمت  '!$A$8:$Q$34,17,0),0)</f>
        <v>0</v>
      </c>
      <c r="P37" s="4"/>
      <c r="Q37" s="4">
        <f>IFERROR(VLOOKUP(A37,'درآمد ناشی ازفروش'!$A$8:$Q$35,17,0),0)</f>
        <v>-126126493</v>
      </c>
      <c r="R37" s="4"/>
      <c r="S37" s="4">
        <f t="shared" si="2"/>
        <v>-126126493</v>
      </c>
      <c r="T37" s="65"/>
      <c r="U37" s="57">
        <f>S37/درآمدها!$J$5</f>
        <v>-7.9128414785387818E-3</v>
      </c>
      <c r="V37" s="66"/>
      <c r="W37" s="66"/>
      <c r="X37" s="66"/>
    </row>
    <row r="38" spans="1:24" s="60" customFormat="1" ht="36.75" customHeight="1">
      <c r="A38" s="118" t="s">
        <v>144</v>
      </c>
      <c r="C38" s="4">
        <f>IFERROR(VLOOKUP(A38,'درآمد سود سهام'!$A$9:$S$26,13,0),0)</f>
        <v>0</v>
      </c>
      <c r="D38" s="4"/>
      <c r="E38" s="4">
        <f>IFERROR(VLOOKUP(A38,'درآمد ناشی از تغییر قیمت  '!$A$8:$Q$34,9,0),0)</f>
        <v>-1023612265</v>
      </c>
      <c r="F38" s="4"/>
      <c r="G38" s="4">
        <f>IFERROR(VLOOKUP(A38,'درآمد ناشی ازفروش'!$A$8:$I$34,9,0),0)</f>
        <v>0</v>
      </c>
      <c r="H38" s="4"/>
      <c r="I38" s="4">
        <f t="shared" si="0"/>
        <v>-1023612265</v>
      </c>
      <c r="K38" s="56">
        <f t="shared" si="1"/>
        <v>-0.24591301986676586</v>
      </c>
      <c r="M38" s="4">
        <f>IFERROR(VLOOKUP(A38,'درآمد سود سهام'!$A$9:$S$26,19,0),0)</f>
        <v>0</v>
      </c>
      <c r="N38" s="4"/>
      <c r="O38" s="4">
        <f>IFERROR(VLOOKUP(A38,'درآمد ناشی از تغییر قیمت  '!$A$8:$Q$34,17,0),0)</f>
        <v>-2350558311</v>
      </c>
      <c r="P38" s="4"/>
      <c r="Q38" s="4">
        <f>IFERROR(VLOOKUP(A38,'درآمد ناشی ازفروش'!$A$8:$Q$35,17,0),0)</f>
        <v>0</v>
      </c>
      <c r="R38" s="4"/>
      <c r="S38" s="4">
        <f t="shared" si="2"/>
        <v>-2350558311</v>
      </c>
      <c r="T38" s="65"/>
      <c r="U38" s="57">
        <f>S38/درآمدها!$J$5</f>
        <v>-0.14746779093433496</v>
      </c>
      <c r="V38" s="66"/>
      <c r="W38" s="66"/>
      <c r="X38" s="66"/>
    </row>
    <row r="39" spans="1:24" s="119" customFormat="1" ht="25.5" customHeight="1" thickBot="1">
      <c r="C39" s="120">
        <f>SUM(C11:C38)</f>
        <v>154480194</v>
      </c>
      <c r="D39" s="121">
        <v>0</v>
      </c>
      <c r="E39" s="120">
        <f>SUM(E11:E38)</f>
        <v>-4165098609</v>
      </c>
      <c r="F39" s="121">
        <v>0</v>
      </c>
      <c r="G39" s="120">
        <f>SUM(G11:G38)</f>
        <v>4366344459</v>
      </c>
      <c r="H39" s="121">
        <v>0</v>
      </c>
      <c r="I39" s="120">
        <f>SUM(I11:I38)</f>
        <v>355726044</v>
      </c>
      <c r="J39" s="122">
        <v>0</v>
      </c>
      <c r="K39" s="123">
        <f>SUM(K11:K38)</f>
        <v>8.5459767058670394E-2</v>
      </c>
      <c r="M39" s="120">
        <f>SUM(M11:M38)</f>
        <v>154480194</v>
      </c>
      <c r="N39" s="4"/>
      <c r="O39" s="120">
        <f>SUM(O11:O38)</f>
        <v>1966593864</v>
      </c>
      <c r="P39" s="4"/>
      <c r="Q39" s="120">
        <f>SUM(Q11:Q38)</f>
        <v>13022447758</v>
      </c>
      <c r="R39" s="4"/>
      <c r="S39" s="120">
        <f>SUM(S11:S38)</f>
        <v>15143521816</v>
      </c>
      <c r="T39" s="122"/>
      <c r="U39" s="123">
        <f>SUM(U11:U38)</f>
        <v>0.95006437352382234</v>
      </c>
    </row>
    <row r="40" spans="1:24" ht="25.5" customHeight="1" thickTop="1">
      <c r="D40" s="4">
        <v>0</v>
      </c>
      <c r="F40" s="4">
        <v>0</v>
      </c>
      <c r="H40" s="4">
        <v>0</v>
      </c>
      <c r="J40" s="65">
        <v>0</v>
      </c>
      <c r="L40" s="60"/>
      <c r="N40" s="4"/>
      <c r="O40" s="124"/>
      <c r="P40" s="4"/>
      <c r="Q40" s="124"/>
      <c r="R40" s="4"/>
      <c r="S40" s="124"/>
      <c r="T40" s="124"/>
    </row>
    <row r="41" spans="1:24" s="42" customFormat="1" ht="33"/>
    <row r="42" spans="1:24" s="42" customFormat="1" ht="33"/>
    <row r="43" spans="1:24" s="42" customFormat="1" ht="33"/>
    <row r="47" spans="1:24" ht="33">
      <c r="D47" s="126"/>
      <c r="E47" s="43"/>
      <c r="F47" s="43"/>
      <c r="G47" s="43"/>
      <c r="H47" s="127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Q23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21.75"/>
  <cols>
    <col min="1" max="1" width="32.5703125" style="81" customWidth="1"/>
    <col min="2" max="2" width="0.42578125" style="81" customWidth="1"/>
    <col min="3" max="3" width="17.5703125" style="81" bestFit="1" customWidth="1"/>
    <col min="4" max="4" width="0.7109375" style="81" customWidth="1"/>
    <col min="5" max="5" width="20.140625" style="81" bestFit="1" customWidth="1"/>
    <col min="6" max="6" width="0.5703125" style="81" customWidth="1"/>
    <col min="7" max="7" width="18.85546875" style="81" bestFit="1" customWidth="1"/>
    <col min="8" max="8" width="0.5703125" style="81" customWidth="1"/>
    <col min="9" max="9" width="19.5703125" style="81" bestFit="1" customWidth="1"/>
    <col min="10" max="10" width="0.42578125" style="81" customWidth="1"/>
    <col min="11" max="11" width="17.5703125" style="81" bestFit="1" customWidth="1"/>
    <col min="12" max="12" width="0.5703125" style="81" customWidth="1"/>
    <col min="13" max="13" width="20.140625" style="81" bestFit="1" customWidth="1"/>
    <col min="14" max="14" width="0.85546875" style="81" customWidth="1"/>
    <col min="15" max="15" width="19.28515625" style="81" bestFit="1" customWidth="1"/>
    <col min="16" max="16" width="0.5703125" style="81" customWidth="1"/>
    <col min="17" max="17" width="20.140625" style="81" bestFit="1" customWidth="1"/>
    <col min="18" max="18" width="9.140625" style="81"/>
    <col min="19" max="19" width="13.7109375" style="81" bestFit="1" customWidth="1"/>
    <col min="20" max="16384" width="9.140625" style="81"/>
  </cols>
  <sheetData>
    <row r="1" spans="1:17" ht="21" customHeight="1">
      <c r="A1" s="303" t="s">
        <v>94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17" ht="18" customHeight="1">
      <c r="A2" s="303" t="s">
        <v>57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1:17" ht="19.5" customHeight="1">
      <c r="A3" s="303" t="str">
        <f>' سهام'!A3:W3</f>
        <v>برای ماه منتهی به 1402/12/29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</row>
    <row r="4" spans="1:17" ht="19.5" customHeight="1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7">
      <c r="A5" s="288" t="s">
        <v>29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</row>
    <row r="6" spans="1:17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ht="22.5" customHeight="1" thickBot="1">
      <c r="A7" s="137"/>
      <c r="B7" s="138"/>
      <c r="C7" s="303" t="str" cm="1">
        <f t="array" ref="C7:G7">'سود اوراق بهادار و سپرده بانکی'!H6:L6</f>
        <v>طی اسفند ماه</v>
      </c>
      <c r="D7" s="303">
        <v>0</v>
      </c>
      <c r="E7" s="303">
        <v>0</v>
      </c>
      <c r="F7" s="303">
        <v>0</v>
      </c>
      <c r="G7" s="303">
        <v>0</v>
      </c>
      <c r="H7" s="303"/>
      <c r="I7" s="303"/>
      <c r="J7" s="239"/>
      <c r="K7" s="334" t="str" cm="1">
        <f t="array" ref="K7:O7">'سود اوراق بهادار و سپرده بانکی'!N6:R6</f>
        <v>از ابتدای سال مالی تا پایان اسفند ماه</v>
      </c>
      <c r="L7" s="334">
        <v>0</v>
      </c>
      <c r="M7" s="334">
        <v>0</v>
      </c>
      <c r="N7" s="334">
        <v>0</v>
      </c>
      <c r="O7" s="334">
        <v>0</v>
      </c>
      <c r="P7" s="334"/>
      <c r="Q7" s="334"/>
    </row>
    <row r="8" spans="1:17" ht="15.75" customHeight="1">
      <c r="A8" s="335"/>
      <c r="B8" s="336"/>
      <c r="C8" s="332" t="s">
        <v>15</v>
      </c>
      <c r="D8" s="332"/>
      <c r="E8" s="332" t="s">
        <v>13</v>
      </c>
      <c r="F8" s="335"/>
      <c r="G8" s="332" t="s">
        <v>14</v>
      </c>
      <c r="H8" s="335"/>
      <c r="I8" s="332" t="s">
        <v>2</v>
      </c>
      <c r="J8" s="240"/>
      <c r="K8" s="332" t="s">
        <v>15</v>
      </c>
      <c r="L8" s="332"/>
      <c r="M8" s="332" t="s">
        <v>13</v>
      </c>
      <c r="N8" s="335"/>
      <c r="O8" s="332" t="s">
        <v>14</v>
      </c>
      <c r="P8" s="335"/>
      <c r="Q8" s="332" t="s">
        <v>2</v>
      </c>
    </row>
    <row r="9" spans="1:17" ht="12" customHeight="1">
      <c r="A9" s="336"/>
      <c r="B9" s="336"/>
      <c r="C9" s="333"/>
      <c r="D9" s="333"/>
      <c r="E9" s="333"/>
      <c r="F9" s="336"/>
      <c r="G9" s="333"/>
      <c r="H9" s="336"/>
      <c r="I9" s="333"/>
      <c r="J9" s="240"/>
      <c r="K9" s="333"/>
      <c r="L9" s="333"/>
      <c r="M9" s="333"/>
      <c r="N9" s="336"/>
      <c r="O9" s="333"/>
      <c r="P9" s="336"/>
      <c r="Q9" s="333"/>
    </row>
    <row r="10" spans="1:17" ht="14.25" customHeight="1" thickBot="1">
      <c r="A10" s="336"/>
      <c r="B10" s="336"/>
      <c r="C10" s="157" t="s">
        <v>67</v>
      </c>
      <c r="D10" s="333"/>
      <c r="E10" s="157" t="s">
        <v>62</v>
      </c>
      <c r="F10" s="336"/>
      <c r="G10" s="157" t="s">
        <v>63</v>
      </c>
      <c r="H10" s="336"/>
      <c r="I10" s="337"/>
      <c r="J10" s="139"/>
      <c r="K10" s="157" t="s">
        <v>67</v>
      </c>
      <c r="L10" s="333"/>
      <c r="M10" s="157" t="s">
        <v>62</v>
      </c>
      <c r="N10" s="336"/>
      <c r="O10" s="157" t="s">
        <v>63</v>
      </c>
      <c r="P10" s="336"/>
      <c r="Q10" s="337"/>
    </row>
    <row r="11" spans="1:17" ht="21" customHeight="1">
      <c r="A11" s="77" t="s">
        <v>126</v>
      </c>
      <c r="B11" s="83"/>
      <c r="C11" s="16">
        <v>0</v>
      </c>
      <c r="D11" s="16"/>
      <c r="E11" s="16">
        <f>IFERROR(VLOOKUP(A11,'درآمد ناشی از تغییر قیمت  '!$A$8:$Q$34,9,0),0)</f>
        <v>-34543137</v>
      </c>
      <c r="F11" s="16"/>
      <c r="G11" s="16">
        <f>IFERROR(VLOOKUP(A11,'درآمد ناشی ازفروش'!$A$8:$I$34,9,0),0)</f>
        <v>0</v>
      </c>
      <c r="H11" s="16"/>
      <c r="I11" s="16">
        <f>C11+E11+G11</f>
        <v>-34543137</v>
      </c>
      <c r="J11" s="16"/>
      <c r="K11" s="16">
        <v>0</v>
      </c>
      <c r="L11" s="16"/>
      <c r="M11" s="16">
        <f>IFERROR(VLOOKUP(A11,'درآمد ناشی از تغییر قیمت  '!$A$8:$Q$32,17,0),0)</f>
        <v>30794229</v>
      </c>
      <c r="N11" s="16"/>
      <c r="O11" s="16">
        <f>IFERROR(VLOOKUP(A11,'درآمد ناشی ازفروش'!$A$8:$Q$35,17,0),0)</f>
        <v>41715398</v>
      </c>
      <c r="P11" s="16"/>
      <c r="Q11" s="16">
        <f>K11+M11+O11</f>
        <v>72509627</v>
      </c>
    </row>
    <row r="12" spans="1:17" ht="21" customHeight="1">
      <c r="A12" s="77" t="s">
        <v>127</v>
      </c>
      <c r="B12" s="83"/>
      <c r="C12" s="16">
        <v>0</v>
      </c>
      <c r="D12" s="16"/>
      <c r="E12" s="16">
        <f>IFERROR(VLOOKUP(A12,'درآمد ناشی از تغییر قیمت  '!$A$8:$Q$34,9,0),0)</f>
        <v>-138199949</v>
      </c>
      <c r="F12" s="16"/>
      <c r="G12" s="16">
        <f>IFERROR(VLOOKUP(A12,'درآمد ناشی ازفروش'!$A$8:$I$34,9,0),0)</f>
        <v>0</v>
      </c>
      <c r="H12" s="16"/>
      <c r="I12" s="16">
        <f t="shared" ref="I12:I15" si="0">C12+E12+G12</f>
        <v>-138199949</v>
      </c>
      <c r="J12" s="16"/>
      <c r="K12" s="16">
        <v>0</v>
      </c>
      <c r="L12" s="16"/>
      <c r="M12" s="16">
        <f>IFERROR(VLOOKUP(A12,'درآمد ناشی از تغییر قیمت  '!$A$8:$Q$32,17,0),0)</f>
        <v>-79505753</v>
      </c>
      <c r="N12" s="16"/>
      <c r="O12" s="16">
        <f>IFERROR(VLOOKUP(A12,'درآمد ناشی ازفروش'!$A$8:$Q$35,17,0),0)</f>
        <v>0</v>
      </c>
      <c r="P12" s="16"/>
      <c r="Q12" s="16">
        <f t="shared" ref="Q12:Q15" si="1">K12+M12+O12</f>
        <v>-79505753</v>
      </c>
    </row>
    <row r="13" spans="1:17" ht="21" customHeight="1">
      <c r="A13" s="77" t="s">
        <v>118</v>
      </c>
      <c r="B13" s="83"/>
      <c r="C13" s="16">
        <v>0</v>
      </c>
      <c r="D13" s="16"/>
      <c r="E13" s="16">
        <f>IFERROR(VLOOKUP(A13,'درآمد ناشی از تغییر قیمت  '!$A$8:$Q$34,9,0),0)</f>
        <v>17786775</v>
      </c>
      <c r="F13" s="16"/>
      <c r="G13" s="16">
        <f>IFERROR(VLOOKUP(A13,'درآمد ناشی ازفروش'!$A$8:$I$34,9,0),0)</f>
        <v>0</v>
      </c>
      <c r="H13" s="16"/>
      <c r="I13" s="16">
        <f t="shared" si="0"/>
        <v>17786775</v>
      </c>
      <c r="J13" s="16"/>
      <c r="K13" s="16">
        <v>0</v>
      </c>
      <c r="L13" s="16"/>
      <c r="M13" s="16">
        <f>IFERROR(VLOOKUP(A13,'درآمد ناشی از تغییر قیمت  '!$A$8:$Q$32,17,0),0)</f>
        <v>55249280</v>
      </c>
      <c r="N13" s="16"/>
      <c r="O13" s="16">
        <f>IFERROR(VLOOKUP(A13,'درآمد ناشی ازفروش'!$A$8:$Q$35,17,0),0)</f>
        <v>21079396</v>
      </c>
      <c r="P13" s="16"/>
      <c r="Q13" s="16">
        <f t="shared" si="1"/>
        <v>76328676</v>
      </c>
    </row>
    <row r="14" spans="1:17" ht="21" customHeight="1">
      <c r="A14" s="77" t="s">
        <v>128</v>
      </c>
      <c r="B14" s="83"/>
      <c r="C14" s="16">
        <v>0</v>
      </c>
      <c r="D14" s="16"/>
      <c r="E14" s="16">
        <f>IFERROR(VLOOKUP(A14,'درآمد ناشی از تغییر قیمت  '!$A$8:$Q$34,9,0),0)</f>
        <v>-125557238</v>
      </c>
      <c r="F14" s="16"/>
      <c r="G14" s="16">
        <f>IFERROR(VLOOKUP(A14,'درآمد ناشی ازفروش'!$A$8:$I$34,9,0),0)</f>
        <v>0</v>
      </c>
      <c r="H14" s="16"/>
      <c r="I14" s="16">
        <f t="shared" si="0"/>
        <v>-125557238</v>
      </c>
      <c r="J14" s="16"/>
      <c r="K14" s="16">
        <v>0</v>
      </c>
      <c r="L14" s="16"/>
      <c r="M14" s="16">
        <f>IFERROR(VLOOKUP(A14,'درآمد ناشی از تغییر قیمت  '!$A$8:$Q$32,17,0),0)</f>
        <v>-498831510</v>
      </c>
      <c r="N14" s="16"/>
      <c r="O14" s="16">
        <f>IFERROR(VLOOKUP(A14,'درآمد ناشی ازفروش'!$A$8:$Q$35,17,0),0)</f>
        <v>0</v>
      </c>
      <c r="P14" s="16"/>
      <c r="Q14" s="16">
        <f t="shared" si="1"/>
        <v>-498831510</v>
      </c>
    </row>
    <row r="15" spans="1:17" ht="21" customHeight="1">
      <c r="A15" s="77" t="s">
        <v>145</v>
      </c>
      <c r="B15" s="83"/>
      <c r="C15" s="16">
        <v>0</v>
      </c>
      <c r="D15" s="16"/>
      <c r="E15" s="16">
        <f>IFERROR(VLOOKUP(A15,'درآمد ناشی از تغییر قیمت  '!$A$8:$Q$34,9,0),0)</f>
        <v>-14237418</v>
      </c>
      <c r="F15" s="16"/>
      <c r="G15" s="16">
        <f>IFERROR(VLOOKUP(A15,'درآمد ناشی ازفروش'!$A$8:$I$34,9,0),0)</f>
        <v>0</v>
      </c>
      <c r="H15" s="16"/>
      <c r="I15" s="16">
        <f t="shared" si="0"/>
        <v>-14237418</v>
      </c>
      <c r="J15" s="16"/>
      <c r="K15" s="16">
        <v>0</v>
      </c>
      <c r="L15" s="16"/>
      <c r="M15" s="16">
        <f>IFERROR(VLOOKUP(A15,'درآمد ناشی از تغییر قیمت  '!$A$8:$Q$32,17,0),0)</f>
        <v>5287529</v>
      </c>
      <c r="N15" s="16"/>
      <c r="O15" s="16">
        <f>IFERROR(VLOOKUP(A15,'درآمد ناشی ازفروش'!$A$8:$Q$35,17,0),0)</f>
        <v>0</v>
      </c>
      <c r="P15" s="16"/>
      <c r="Q15" s="16">
        <f t="shared" si="1"/>
        <v>5287529</v>
      </c>
    </row>
    <row r="16" spans="1:17" ht="21" customHeight="1" thickBot="1">
      <c r="A16" s="131" t="s">
        <v>2</v>
      </c>
      <c r="B16" s="132"/>
      <c r="C16" s="158">
        <f>SUM(C11:C15)</f>
        <v>0</v>
      </c>
      <c r="D16" s="159">
        <f t="shared" ref="D16:P16" si="2">SUM(D11:D11)</f>
        <v>0</v>
      </c>
      <c r="E16" s="158">
        <f>SUM(E11:E15)</f>
        <v>-294750967</v>
      </c>
      <c r="F16" s="159">
        <f t="shared" si="2"/>
        <v>0</v>
      </c>
      <c r="G16" s="158">
        <f>SUM(G11:G15)</f>
        <v>0</v>
      </c>
      <c r="H16" s="159">
        <f t="shared" si="2"/>
        <v>0</v>
      </c>
      <c r="I16" s="158">
        <f>SUM(I11:I15)</f>
        <v>-294750967</v>
      </c>
      <c r="J16" s="159">
        <f t="shared" si="2"/>
        <v>0</v>
      </c>
      <c r="K16" s="158">
        <f>SUM(K11:K15)</f>
        <v>0</v>
      </c>
      <c r="L16" s="159">
        <f t="shared" si="2"/>
        <v>0</v>
      </c>
      <c r="M16" s="158">
        <f>SUM(M11:M15)</f>
        <v>-487006225</v>
      </c>
      <c r="N16" s="159">
        <f t="shared" si="2"/>
        <v>0</v>
      </c>
      <c r="O16" s="158">
        <f>SUM(O11:O15)</f>
        <v>62794794</v>
      </c>
      <c r="P16" s="159">
        <f t="shared" si="2"/>
        <v>0</v>
      </c>
      <c r="Q16" s="158">
        <f>SUM(Q11:Q15)</f>
        <v>-424211431</v>
      </c>
    </row>
    <row r="17" spans="1:17" ht="22.5" thickTop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s="16" customFormat="1"/>
    <row r="19" spans="1:17" s="16" customFormat="1"/>
    <row r="20" spans="1:17" s="16" customFormat="1"/>
    <row r="22" spans="1:17">
      <c r="O22" s="135"/>
      <c r="Q22" s="135"/>
    </row>
    <row r="23" spans="1:17">
      <c r="O23" s="94"/>
      <c r="Q23" s="94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8:A10"/>
    <mergeCell ref="B8:B10"/>
    <mergeCell ref="D8:D10"/>
    <mergeCell ref="Q8:Q10"/>
    <mergeCell ref="I8:I10"/>
    <mergeCell ref="P8:P10"/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</mergeCells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N17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21.75"/>
  <cols>
    <col min="1" max="1" width="35.85546875" style="81" bestFit="1" customWidth="1"/>
    <col min="2" max="2" width="0.7109375" style="81" customWidth="1"/>
    <col min="3" max="3" width="22.85546875" style="81" customWidth="1"/>
    <col min="4" max="4" width="0.7109375" style="81" customWidth="1"/>
    <col min="5" max="5" width="18.42578125" style="47" customWidth="1"/>
    <col min="6" max="6" width="1.42578125" style="47" customWidth="1"/>
    <col min="7" max="7" width="21.7109375" style="47" customWidth="1"/>
    <col min="8" max="8" width="1.42578125" style="47" customWidth="1"/>
    <col min="9" max="9" width="26.140625" style="47" customWidth="1"/>
    <col min="10" max="10" width="1.28515625" style="81" customWidth="1"/>
    <col min="11" max="11" width="22" style="81" customWidth="1"/>
    <col min="12" max="12" width="0.7109375" style="81" customWidth="1"/>
    <col min="13" max="13" width="9.7109375" style="81" customWidth="1"/>
    <col min="14" max="14" width="15.42578125" style="81" bestFit="1" customWidth="1"/>
    <col min="15" max="16384" width="9.140625" style="81"/>
  </cols>
  <sheetData>
    <row r="1" spans="1:14" ht="22.5">
      <c r="A1" s="303" t="s">
        <v>94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4" ht="22.5">
      <c r="A2" s="303" t="s">
        <v>57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4" ht="22.5">
      <c r="A3" s="303" t="str">
        <f>' سهام'!A3:W3</f>
        <v>برای ماه منتهی به 1402/12/29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</row>
    <row r="4" spans="1:14" ht="22.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4">
      <c r="A5" s="288" t="s">
        <v>30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4" ht="22.5" thickBot="1">
      <c r="A6" s="71"/>
      <c r="B6" s="71"/>
      <c r="C6" s="71"/>
      <c r="D6" s="70"/>
      <c r="E6" s="11"/>
      <c r="F6" s="11"/>
      <c r="G6" s="11"/>
      <c r="H6" s="11"/>
      <c r="I6" s="11"/>
      <c r="J6" s="71"/>
      <c r="K6" s="71"/>
      <c r="L6" s="71"/>
    </row>
    <row r="7" spans="1:14" ht="37.5" customHeight="1" thickBot="1">
      <c r="A7" s="338" t="s">
        <v>20</v>
      </c>
      <c r="B7" s="338"/>
      <c r="C7" s="338"/>
      <c r="D7" s="239"/>
      <c r="E7" s="339" t="s">
        <v>160</v>
      </c>
      <c r="F7" s="339"/>
      <c r="G7" s="339"/>
      <c r="H7" s="339"/>
      <c r="I7" s="338" t="s">
        <v>161</v>
      </c>
      <c r="J7" s="338"/>
      <c r="K7" s="338"/>
      <c r="L7" s="338"/>
    </row>
    <row r="8" spans="1:14" ht="37.5">
      <c r="A8" s="128" t="s">
        <v>16</v>
      </c>
      <c r="B8" s="239"/>
      <c r="C8" s="128" t="s">
        <v>9</v>
      </c>
      <c r="D8" s="240"/>
      <c r="E8" s="44" t="s">
        <v>17</v>
      </c>
      <c r="F8" s="45"/>
      <c r="G8" s="44" t="s">
        <v>18</v>
      </c>
      <c r="H8" s="46"/>
      <c r="I8" s="44" t="s">
        <v>17</v>
      </c>
      <c r="J8" s="239"/>
      <c r="K8" s="128" t="s">
        <v>18</v>
      </c>
      <c r="L8" s="239"/>
    </row>
    <row r="9" spans="1:14" ht="27" customHeight="1">
      <c r="A9" s="129" t="s">
        <v>103</v>
      </c>
      <c r="B9" s="83"/>
      <c r="C9" s="78" t="s">
        <v>117</v>
      </c>
      <c r="D9" s="83"/>
      <c r="E9" s="12">
        <f>VLOOKUP(A9,'سود اوراق بهادار و سپرده بانکی'!$A$8:$R$10,12,0)</f>
        <v>5371</v>
      </c>
      <c r="F9" s="83"/>
      <c r="G9" s="130">
        <f>E9/$E$12</f>
        <v>1.5506836072186271E-4</v>
      </c>
      <c r="H9" s="83"/>
      <c r="I9" s="12">
        <f>VLOOKUP(A9,'سود اوراق بهادار و سپرده بانکی'!$A$8:$R$10,18,0)</f>
        <v>2045148</v>
      </c>
      <c r="J9" s="83"/>
      <c r="K9" s="130">
        <f>I9/$I$12</f>
        <v>5.571643590561725E-2</v>
      </c>
      <c r="L9" s="239"/>
      <c r="M9" s="94"/>
      <c r="N9" s="94"/>
    </row>
    <row r="10" spans="1:14" ht="27" customHeight="1">
      <c r="A10" s="129" t="s">
        <v>104</v>
      </c>
      <c r="B10" s="83"/>
      <c r="C10" s="78" t="s">
        <v>105</v>
      </c>
      <c r="D10" s="83"/>
      <c r="E10" s="12">
        <f>VLOOKUP(A10,'سود اوراق بهادار و سپرده بانکی'!$A$8:$R$10,12,0)</f>
        <v>7404895.0526315793</v>
      </c>
      <c r="F10" s="83"/>
      <c r="G10" s="130">
        <f t="shared" ref="G10:G11" si="0">E10/$E$12</f>
        <v>0.21378978535263643</v>
      </c>
      <c r="H10" s="83"/>
      <c r="I10" s="12">
        <f>VLOOKUP(A10,'سود اوراق بهادار و سپرده بانکی'!$A$8:$R$10,18,0)</f>
        <v>7435149.0526315793</v>
      </c>
      <c r="J10" s="83"/>
      <c r="K10" s="130">
        <f t="shared" ref="K10:K11" si="1">I10/$I$12</f>
        <v>0.2025574704811868</v>
      </c>
      <c r="L10" s="239"/>
      <c r="M10" s="94"/>
      <c r="N10" s="94"/>
    </row>
    <row r="11" spans="1:14" ht="27" customHeight="1" thickBot="1">
      <c r="A11" s="129" t="s">
        <v>163</v>
      </c>
      <c r="B11" s="83"/>
      <c r="C11" s="78" t="s">
        <v>164</v>
      </c>
      <c r="D11" s="83"/>
      <c r="E11" s="12">
        <f>VLOOKUP(A11,'سود اوراق بهادار و سپرده بانکی'!$A$8:$R$10,12,0)</f>
        <v>27226070.947368421</v>
      </c>
      <c r="F11" s="83"/>
      <c r="G11" s="130">
        <f t="shared" si="0"/>
        <v>0.78605514628664175</v>
      </c>
      <c r="H11" s="83"/>
      <c r="I11" s="12">
        <f>VLOOKUP(A11,'سود اوراق بهادار و سپرده بانکی'!$A$8:$R$10,18,0)</f>
        <v>27226070.947368421</v>
      </c>
      <c r="J11" s="83"/>
      <c r="K11" s="130">
        <f t="shared" si="1"/>
        <v>0.74172609361319597</v>
      </c>
      <c r="L11" s="239"/>
      <c r="M11" s="94"/>
      <c r="N11" s="94"/>
    </row>
    <row r="12" spans="1:14" ht="22.5" thickBot="1">
      <c r="A12" s="131" t="s">
        <v>2</v>
      </c>
      <c r="B12" s="132"/>
      <c r="D12" s="133"/>
      <c r="E12" s="221">
        <f>SUM(E9:E11)</f>
        <v>34636337</v>
      </c>
      <c r="F12" s="83"/>
      <c r="G12" s="134">
        <f>SUM(G9:G11)</f>
        <v>1</v>
      </c>
      <c r="H12" s="83"/>
      <c r="I12" s="221">
        <f>SUM(I9:I11)</f>
        <v>36706368</v>
      </c>
      <c r="J12" s="83"/>
      <c r="K12" s="134">
        <f>SUM(K9:K11)</f>
        <v>1</v>
      </c>
      <c r="L12" s="239"/>
    </row>
    <row r="13" spans="1:14" ht="22.5" thickTop="1">
      <c r="F13" s="83"/>
      <c r="H13" s="83"/>
      <c r="J13" s="83"/>
    </row>
    <row r="14" spans="1:14">
      <c r="E14" s="135"/>
      <c r="F14" s="81"/>
      <c r="G14" s="81"/>
      <c r="H14" s="81"/>
      <c r="I14" s="135"/>
    </row>
    <row r="15" spans="1:14">
      <c r="E15" s="94"/>
      <c r="F15" s="81"/>
      <c r="G15" s="81"/>
      <c r="H15" s="81"/>
      <c r="I15" s="94"/>
    </row>
    <row r="16" spans="1:14">
      <c r="I16" s="16"/>
    </row>
    <row r="17" spans="3:9">
      <c r="C17" s="94"/>
      <c r="E17" s="16"/>
      <c r="I17" s="16"/>
    </row>
  </sheetData>
  <autoFilter ref="A8:L8" xr:uid="{00000000-0009-0000-0000-00000B000000}">
    <sortState xmlns:xlrd2="http://schemas.microsoft.com/office/spreadsheetml/2017/richdata2" ref="A9:L16">
      <sortCondition descending="1" ref="I8"/>
    </sortState>
  </autoFilter>
  <mergeCells count="7">
    <mergeCell ref="A7:C7"/>
    <mergeCell ref="E7:H7"/>
    <mergeCell ref="A5:L5"/>
    <mergeCell ref="I7:L7"/>
    <mergeCell ref="A1:L1"/>
    <mergeCell ref="A2:L2"/>
    <mergeCell ref="A3:L3"/>
  </mergeCells>
  <pageMargins left="0.7" right="0.7" top="0.75" bottom="0.75" header="0.3" footer="0.3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K24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8"/>
  <cols>
    <col min="1" max="1" width="32.42578125" style="70" customWidth="1"/>
    <col min="2" max="2" width="1.42578125" style="70" customWidth="1"/>
    <col min="3" max="3" width="17.7109375" style="70" bestFit="1" customWidth="1"/>
    <col min="4" max="4" width="0.85546875" style="70" customWidth="1"/>
    <col min="5" max="5" width="18.140625" style="70" customWidth="1"/>
    <col min="6" max="6" width="9.140625" style="70"/>
    <col min="7" max="7" width="11.28515625" style="70" bestFit="1" customWidth="1"/>
    <col min="8" max="8" width="10.85546875" style="70" bestFit="1" customWidth="1"/>
    <col min="9" max="9" width="9.140625" style="70"/>
    <col min="10" max="10" width="9.85546875" style="70" bestFit="1" customWidth="1"/>
    <col min="11" max="11" width="11.28515625" style="70" bestFit="1" customWidth="1"/>
    <col min="12" max="16384" width="9.140625" style="70"/>
  </cols>
  <sheetData>
    <row r="1" spans="1:11" s="136" customFormat="1" ht="18.75">
      <c r="A1" s="285" t="s">
        <v>94</v>
      </c>
      <c r="B1" s="285"/>
      <c r="C1" s="285"/>
      <c r="D1" s="285"/>
      <c r="E1" s="285"/>
    </row>
    <row r="2" spans="1:11" s="136" customFormat="1" ht="18.75">
      <c r="A2" s="285" t="s">
        <v>57</v>
      </c>
      <c r="B2" s="285"/>
      <c r="C2" s="285"/>
      <c r="D2" s="285"/>
      <c r="E2" s="285"/>
    </row>
    <row r="3" spans="1:11" s="136" customFormat="1" ht="18.75">
      <c r="A3" s="285" t="str">
        <f>' سهام'!A3:W3</f>
        <v>برای ماه منتهی به 1402/12/29</v>
      </c>
      <c r="B3" s="285"/>
      <c r="C3" s="285"/>
      <c r="D3" s="285"/>
      <c r="E3" s="285"/>
    </row>
    <row r="4" spans="1:11" s="136" customFormat="1" ht="18.75">
      <c r="A4" s="231"/>
      <c r="B4" s="231"/>
      <c r="C4" s="231"/>
      <c r="D4" s="231"/>
      <c r="E4" s="231"/>
    </row>
    <row r="5" spans="1:11" ht="18.75">
      <c r="A5" s="288" t="s">
        <v>31</v>
      </c>
      <c r="B5" s="288"/>
      <c r="C5" s="288"/>
      <c r="D5" s="288"/>
      <c r="E5" s="288"/>
    </row>
    <row r="6" spans="1:11" ht="49.5" customHeight="1" thickBot="1">
      <c r="A6" s="137"/>
      <c r="B6" s="138"/>
      <c r="C6" s="241" t="s">
        <v>160</v>
      </c>
      <c r="D6" s="239"/>
      <c r="E6" s="241" t="s">
        <v>161</v>
      </c>
    </row>
    <row r="7" spans="1:11" ht="16.5" customHeight="1">
      <c r="A7" s="335"/>
      <c r="B7" s="336"/>
      <c r="C7" s="332" t="s">
        <v>6</v>
      </c>
      <c r="D7" s="240"/>
      <c r="E7" s="332" t="s">
        <v>6</v>
      </c>
    </row>
    <row r="8" spans="1:11" ht="18.75" thickBot="1">
      <c r="A8" s="336"/>
      <c r="B8" s="336"/>
      <c r="C8" s="337"/>
      <c r="D8" s="139"/>
      <c r="E8" s="337"/>
    </row>
    <row r="9" spans="1:11">
      <c r="A9" s="239" t="s">
        <v>32</v>
      </c>
      <c r="B9" s="239"/>
      <c r="C9" s="12">
        <v>0</v>
      </c>
      <c r="D9" s="12"/>
      <c r="E9" s="12">
        <v>18434597</v>
      </c>
      <c r="F9" s="80"/>
      <c r="G9" s="88"/>
      <c r="H9" s="88"/>
      <c r="J9" s="80"/>
      <c r="K9" s="80"/>
    </row>
    <row r="10" spans="1:11">
      <c r="A10" s="239" t="s">
        <v>107</v>
      </c>
      <c r="B10" s="239"/>
      <c r="C10" s="12">
        <v>0</v>
      </c>
      <c r="D10" s="12">
        <v>27449510</v>
      </c>
      <c r="E10" s="12">
        <v>265983</v>
      </c>
      <c r="F10" s="140"/>
      <c r="G10" s="88"/>
      <c r="I10" s="80"/>
      <c r="J10" s="80"/>
    </row>
    <row r="11" spans="1:11">
      <c r="A11" s="239" t="s">
        <v>135</v>
      </c>
      <c r="B11" s="239"/>
      <c r="C11" s="12">
        <v>207875</v>
      </c>
      <c r="D11" s="12"/>
      <c r="E11" s="12">
        <v>16118023</v>
      </c>
      <c r="F11" s="140"/>
      <c r="G11" s="88"/>
      <c r="I11" s="80"/>
      <c r="J11" s="80"/>
    </row>
    <row r="12" spans="1:11" ht="18.75" thickBot="1">
      <c r="A12" s="141" t="s">
        <v>2</v>
      </c>
      <c r="B12" s="239"/>
      <c r="C12" s="100">
        <f>SUM(C9:C11)</f>
        <v>207875</v>
      </c>
      <c r="D12" s="12"/>
      <c r="E12" s="100">
        <f>SUM(E9:E11)</f>
        <v>34818603</v>
      </c>
    </row>
    <row r="13" spans="1:11" ht="18.75" thickTop="1">
      <c r="A13" s="239"/>
      <c r="D13" s="12"/>
    </row>
    <row r="14" spans="1:11">
      <c r="C14" s="142"/>
      <c r="E14" s="67"/>
    </row>
    <row r="15" spans="1:11">
      <c r="C15" s="80"/>
      <c r="E15" s="67"/>
    </row>
    <row r="16" spans="1:11">
      <c r="E16" s="67"/>
    </row>
    <row r="17" spans="3:11">
      <c r="C17" s="67"/>
      <c r="E17" s="67"/>
    </row>
    <row r="18" spans="3:11">
      <c r="C18" s="80"/>
      <c r="E18" s="67"/>
    </row>
    <row r="19" spans="3:11">
      <c r="C19" s="67"/>
      <c r="E19" s="80"/>
    </row>
    <row r="21" spans="3:11">
      <c r="C21" s="142"/>
    </row>
    <row r="22" spans="3:11">
      <c r="J22" s="142"/>
      <c r="K22" s="142"/>
    </row>
    <row r="24" spans="3:11">
      <c r="K24" s="142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Fariba Abdoli</cp:lastModifiedBy>
  <cp:lastPrinted>2023-10-25T16:54:14Z</cp:lastPrinted>
  <dcterms:created xsi:type="dcterms:W3CDTF">2017-11-22T14:26:20Z</dcterms:created>
  <dcterms:modified xsi:type="dcterms:W3CDTF">2024-03-27T14:52:51Z</dcterms:modified>
</cp:coreProperties>
</file>