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W:\fund\8 صندوق با تضمین کیان\گزارش ماهانه\10-دی\"/>
    </mc:Choice>
  </mc:AlternateContent>
  <xr:revisionPtr revIDLastSave="0" documentId="13_ncr:1_{B5FAB333-14A7-4CE1-857B-78450FCDE740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سهام'!$A$9:$W$9</definedName>
    <definedName name="_xlnm._FilterDatabase" localSheetId="11" hidden="1">'درآمد سپرده بانکی'!$A$7:$L$7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'!$A$10:$U$10</definedName>
    <definedName name="_xlnm._FilterDatabase" localSheetId="6" hidden="1">'درآمد سود سهام'!$A$7:$S$7</definedName>
    <definedName name="_xlnm._FilterDatabase" localSheetId="8" hidden="1">'درآمد ناشی از تغییر قیمت  '!$A$6:$Q$6</definedName>
    <definedName name="_xlnm._FilterDatabase" localSheetId="7" hidden="1">'درآمد ناشی ازفروش'!$A$6:$Q$6</definedName>
    <definedName name="_xlnm._FilterDatabase" localSheetId="3" hidden="1">سپرده!$A$8:$S$8</definedName>
    <definedName name="_xlnm._FilterDatabase" localSheetId="5" hidden="1">'سود اوراق بهادار و سپرده بانکی'!$A$6:$R$6</definedName>
    <definedName name="_xlnm.Print_Area" localSheetId="1">' سهام'!$A$1:$W$28</definedName>
    <definedName name="_xlnm.Print_Area" localSheetId="2">اوراق!$A$1:$AG$14</definedName>
    <definedName name="_xlnm.Print_Area" localSheetId="11">'درآمد سپرده بانکی'!$A$1:$L$11</definedName>
    <definedName name="_xlnm.Print_Area" localSheetId="10">'درآمد سرمایه گذاری در اوراق بها'!$A$1:$Q$15</definedName>
    <definedName name="_xlnm.Print_Area" localSheetId="9">'درآمد سرمایه گذاری در سهام '!$A$1:$U$33</definedName>
    <definedName name="_xlnm.Print_Area" localSheetId="6">'درآمد سود سهام'!$A$1:$S$11</definedName>
    <definedName name="_xlnm.Print_Area" localSheetId="8">'درآمد ناشی از تغییر قیمت  '!$A$1:$Q$33</definedName>
    <definedName name="_xlnm.Print_Area" localSheetId="7">'درآمد ناشی ازفروش'!$A$1:$Q$35</definedName>
    <definedName name="_xlnm.Print_Area" localSheetId="4">درآمدها!$A$1:$I$11</definedName>
    <definedName name="_xlnm.Print_Area" localSheetId="0">روکش!$A$1:$J$36</definedName>
    <definedName name="_xlnm.Print_Area" localSheetId="12">'سایر درآمدها'!$A$1:$E$12</definedName>
    <definedName name="_xlnm.Print_Area" localSheetId="3">سپرده!$A$1:$S$13</definedName>
    <definedName name="_xlnm.Print_Area" localSheetId="5">'سود اوراق بهادار و سپرده بانکی'!$A$1:$R$11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 '!$5:$6</definedName>
    <definedName name="_xlnm.Print_Titles" localSheetId="7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5" l="1"/>
  <c r="O7" i="15"/>
  <c r="G7" i="15"/>
  <c r="I7" i="15"/>
  <c r="G8" i="15"/>
  <c r="I8" i="15"/>
  <c r="I30" i="15" s="1"/>
  <c r="Q29" i="15"/>
  <c r="E7" i="15"/>
  <c r="I15" i="15" l="1"/>
  <c r="C10" i="15"/>
  <c r="C24" i="15"/>
  <c r="Q8" i="14"/>
  <c r="Q9" i="14"/>
  <c r="Q10" i="14"/>
  <c r="Q7" i="14"/>
  <c r="I8" i="14"/>
  <c r="I9" i="14"/>
  <c r="I10" i="14"/>
  <c r="I7" i="14"/>
  <c r="E11" i="8"/>
  <c r="C11" i="8"/>
  <c r="K10" i="7"/>
  <c r="K9" i="7"/>
  <c r="K8" i="7"/>
  <c r="I10" i="7"/>
  <c r="G10" i="7"/>
  <c r="G9" i="7"/>
  <c r="G8" i="7"/>
  <c r="E10" i="7"/>
  <c r="K14" i="6"/>
  <c r="C14" i="6"/>
  <c r="M32" i="5"/>
  <c r="C32" i="5"/>
  <c r="O28" i="14"/>
  <c r="G28" i="14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7" i="15"/>
  <c r="O30" i="15"/>
  <c r="M30" i="15"/>
  <c r="G30" i="15"/>
  <c r="R8" i="13"/>
  <c r="R9" i="13" s="1"/>
  <c r="R7" i="13"/>
  <c r="L8" i="13"/>
  <c r="L9" i="13" s="1"/>
  <c r="L7" i="13"/>
  <c r="P9" i="13"/>
  <c r="N9" i="13"/>
  <c r="J9" i="13"/>
  <c r="H9" i="13"/>
  <c r="S10" i="2"/>
  <c r="S9" i="2"/>
  <c r="S11" i="2"/>
  <c r="Q11" i="2"/>
  <c r="O11" i="2"/>
  <c r="M11" i="2"/>
  <c r="K11" i="2"/>
  <c r="AG10" i="17"/>
  <c r="AG11" i="17"/>
  <c r="AG12" i="17"/>
  <c r="AG9" i="17"/>
  <c r="AE13" i="17"/>
  <c r="AC13" i="17"/>
  <c r="W13" i="17"/>
  <c r="T13" i="17"/>
  <c r="Q13" i="17"/>
  <c r="O13" i="17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10" i="1"/>
  <c r="W27" i="1"/>
  <c r="U27" i="1"/>
  <c r="S27" i="1"/>
  <c r="M27" i="1"/>
  <c r="J27" i="1"/>
  <c r="G27" i="1"/>
  <c r="E27" i="1"/>
  <c r="O11" i="6"/>
  <c r="O13" i="6"/>
  <c r="G11" i="6"/>
  <c r="G13" i="6"/>
  <c r="Q25" i="5"/>
  <c r="O19" i="5"/>
  <c r="O23" i="5"/>
  <c r="O29" i="5"/>
  <c r="O11" i="5"/>
  <c r="E19" i="5"/>
  <c r="E23" i="5"/>
  <c r="E29" i="5"/>
  <c r="E11" i="5"/>
  <c r="E8" i="15"/>
  <c r="C8" i="15"/>
  <c r="C7" i="15"/>
  <c r="E10" i="15"/>
  <c r="I10" i="15" s="1"/>
  <c r="G30" i="5" s="1"/>
  <c r="E11" i="15"/>
  <c r="E12" i="15"/>
  <c r="E13" i="15"/>
  <c r="I13" i="15" s="1"/>
  <c r="G27" i="5" s="1"/>
  <c r="E14" i="15"/>
  <c r="I14" i="15" s="1"/>
  <c r="G26" i="5" s="1"/>
  <c r="E15" i="15"/>
  <c r="G25" i="5" s="1"/>
  <c r="E16" i="15"/>
  <c r="I16" i="15" s="1"/>
  <c r="G24" i="5" s="1"/>
  <c r="E17" i="15"/>
  <c r="I17" i="15" s="1"/>
  <c r="G23" i="5" s="1"/>
  <c r="E18" i="15"/>
  <c r="E19" i="15"/>
  <c r="I19" i="15" s="1"/>
  <c r="G21" i="5" s="1"/>
  <c r="E20" i="15"/>
  <c r="I20" i="15" s="1"/>
  <c r="G20" i="5" s="1"/>
  <c r="E21" i="15"/>
  <c r="I21" i="15" s="1"/>
  <c r="G19" i="5" s="1"/>
  <c r="E22" i="15"/>
  <c r="I22" i="15" s="1"/>
  <c r="G18" i="5" s="1"/>
  <c r="E23" i="15"/>
  <c r="I23" i="15" s="1"/>
  <c r="G17" i="5" s="1"/>
  <c r="E24" i="15"/>
  <c r="E25" i="15"/>
  <c r="I25" i="15" s="1"/>
  <c r="G15" i="5" s="1"/>
  <c r="E26" i="15"/>
  <c r="I26" i="15" s="1"/>
  <c r="G14" i="5" s="1"/>
  <c r="E27" i="15"/>
  <c r="I27" i="15" s="1"/>
  <c r="G13" i="5" s="1"/>
  <c r="E28" i="15"/>
  <c r="I28" i="15" s="1"/>
  <c r="G12" i="5" s="1"/>
  <c r="E29" i="15"/>
  <c r="I29" i="15" s="1"/>
  <c r="G11" i="5" s="1"/>
  <c r="E9" i="15"/>
  <c r="I9" i="15" s="1"/>
  <c r="C12" i="15"/>
  <c r="C13" i="15"/>
  <c r="C14" i="15"/>
  <c r="C15" i="15"/>
  <c r="C16" i="15"/>
  <c r="C17" i="15"/>
  <c r="C18" i="15"/>
  <c r="C19" i="15"/>
  <c r="C20" i="15"/>
  <c r="C21" i="15"/>
  <c r="C22" i="15"/>
  <c r="C23" i="15"/>
  <c r="C25" i="15"/>
  <c r="C26" i="15"/>
  <c r="C27" i="15"/>
  <c r="C28" i="15"/>
  <c r="C29" i="15"/>
  <c r="C9" i="15"/>
  <c r="C11" i="15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12" i="14"/>
  <c r="C27" i="14"/>
  <c r="E27" i="14"/>
  <c r="I27" i="14" s="1"/>
  <c r="M27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E7" i="14"/>
  <c r="E12" i="6" s="1"/>
  <c r="E8" i="14"/>
  <c r="E9" i="14"/>
  <c r="E10" i="14"/>
  <c r="E11" i="14"/>
  <c r="E12" i="14"/>
  <c r="I12" i="14" s="1"/>
  <c r="E13" i="14"/>
  <c r="E14" i="14"/>
  <c r="E15" i="14"/>
  <c r="I15" i="14" s="1"/>
  <c r="E16" i="14"/>
  <c r="I16" i="14" s="1"/>
  <c r="E17" i="14"/>
  <c r="E18" i="14"/>
  <c r="E19" i="14"/>
  <c r="E20" i="14"/>
  <c r="E21" i="14"/>
  <c r="I21" i="14" s="1"/>
  <c r="E22" i="14"/>
  <c r="E23" i="14"/>
  <c r="E24" i="14"/>
  <c r="E25" i="14"/>
  <c r="E26" i="14"/>
  <c r="Q11" i="5"/>
  <c r="Q30" i="15" l="1"/>
  <c r="G12" i="6"/>
  <c r="I12" i="6" s="1"/>
  <c r="E17" i="5"/>
  <c r="I22" i="14"/>
  <c r="E18" i="5"/>
  <c r="I18" i="5" s="1"/>
  <c r="K18" i="5" s="1"/>
  <c r="I26" i="14"/>
  <c r="E13" i="5" s="1"/>
  <c r="I20" i="14"/>
  <c r="E20" i="5" s="1"/>
  <c r="I20" i="5" s="1"/>
  <c r="K20" i="5" s="1"/>
  <c r="I14" i="14"/>
  <c r="E24" i="5"/>
  <c r="I24" i="5" s="1"/>
  <c r="K24" i="5" s="1"/>
  <c r="I25" i="14"/>
  <c r="E14" i="5" s="1"/>
  <c r="I14" i="5" s="1"/>
  <c r="K14" i="5" s="1"/>
  <c r="I19" i="14"/>
  <c r="E21" i="5" s="1"/>
  <c r="I21" i="5" s="1"/>
  <c r="K21" i="5" s="1"/>
  <c r="I13" i="14"/>
  <c r="E28" i="5" s="1"/>
  <c r="E25" i="5"/>
  <c r="I24" i="14"/>
  <c r="E15" i="5" s="1"/>
  <c r="I15" i="5" s="1"/>
  <c r="K15" i="5" s="1"/>
  <c r="I18" i="14"/>
  <c r="E22" i="5" s="1"/>
  <c r="Q27" i="14"/>
  <c r="O12" i="5" s="1"/>
  <c r="E26" i="5"/>
  <c r="I26" i="5" s="1"/>
  <c r="K26" i="5" s="1"/>
  <c r="E12" i="5"/>
  <c r="I12" i="5" s="1"/>
  <c r="K12" i="5" s="1"/>
  <c r="I23" i="14"/>
  <c r="E16" i="5" s="1"/>
  <c r="I17" i="14"/>
  <c r="I11" i="14"/>
  <c r="E31" i="5" s="1"/>
  <c r="I19" i="5"/>
  <c r="K19" i="5" s="1"/>
  <c r="I23" i="5"/>
  <c r="K23" i="5" s="1"/>
  <c r="E30" i="5"/>
  <c r="I30" i="5" s="1"/>
  <c r="K30" i="5" s="1"/>
  <c r="G31" i="5"/>
  <c r="I11" i="5"/>
  <c r="K11" i="5" s="1"/>
  <c r="I17" i="5"/>
  <c r="K17" i="5" s="1"/>
  <c r="I25" i="5"/>
  <c r="K25" i="5" s="1"/>
  <c r="I24" i="15"/>
  <c r="G16" i="5" s="1"/>
  <c r="I18" i="15"/>
  <c r="G22" i="5" s="1"/>
  <c r="I12" i="15"/>
  <c r="G28" i="5" s="1"/>
  <c r="E27" i="5"/>
  <c r="I27" i="5" s="1"/>
  <c r="K27" i="5" s="1"/>
  <c r="I11" i="15"/>
  <c r="G29" i="5" s="1"/>
  <c r="I29" i="5" s="1"/>
  <c r="K29" i="5" s="1"/>
  <c r="E28" i="14"/>
  <c r="E30" i="15"/>
  <c r="S11" i="5"/>
  <c r="U11" i="5" s="1"/>
  <c r="Q14" i="5"/>
  <c r="Q13" i="5"/>
  <c r="Q12" i="5"/>
  <c r="O10" i="6"/>
  <c r="Q31" i="5"/>
  <c r="Q30" i="5"/>
  <c r="Q29" i="5"/>
  <c r="S29" i="5" s="1"/>
  <c r="U29" i="5" s="1"/>
  <c r="Q28" i="5"/>
  <c r="Q27" i="5"/>
  <c r="Q26" i="5"/>
  <c r="Q24" i="5"/>
  <c r="Q23" i="5"/>
  <c r="S23" i="5" s="1"/>
  <c r="U23" i="5" s="1"/>
  <c r="Q22" i="5"/>
  <c r="Q21" i="5"/>
  <c r="Q20" i="5"/>
  <c r="Q19" i="5"/>
  <c r="S19" i="5" s="1"/>
  <c r="U19" i="5" s="1"/>
  <c r="Q18" i="5"/>
  <c r="Q17" i="5"/>
  <c r="Q16" i="5"/>
  <c r="Q15" i="5"/>
  <c r="O12" i="6"/>
  <c r="E10" i="6"/>
  <c r="E13" i="6"/>
  <c r="I13" i="6" s="1"/>
  <c r="E11" i="6"/>
  <c r="I11" i="6" s="1"/>
  <c r="M7" i="14"/>
  <c r="K7" i="14"/>
  <c r="M11" i="14"/>
  <c r="Q11" i="14" s="1"/>
  <c r="K11" i="14"/>
  <c r="S12" i="5" l="1"/>
  <c r="U12" i="5" s="1"/>
  <c r="I16" i="5"/>
  <c r="K16" i="5" s="1"/>
  <c r="I22" i="5"/>
  <c r="K22" i="5" s="1"/>
  <c r="I31" i="5"/>
  <c r="K31" i="5" s="1"/>
  <c r="I28" i="5"/>
  <c r="K28" i="5" s="1"/>
  <c r="E32" i="5"/>
  <c r="I13" i="5"/>
  <c r="K13" i="5" s="1"/>
  <c r="E14" i="6"/>
  <c r="O14" i="6"/>
  <c r="E8" i="11" s="1"/>
  <c r="I8" i="11" s="1"/>
  <c r="I28" i="14"/>
  <c r="O31" i="5"/>
  <c r="S31" i="5" s="1"/>
  <c r="U31" i="5" s="1"/>
  <c r="G32" i="5"/>
  <c r="Q32" i="5"/>
  <c r="S13" i="17"/>
  <c r="I32" i="5" l="1"/>
  <c r="AG13" i="17"/>
  <c r="E8" i="7"/>
  <c r="K8" i="14" l="1"/>
  <c r="K9" i="14"/>
  <c r="K10" i="14"/>
  <c r="C6" i="6" a="1"/>
  <c r="C6" i="6" s="1"/>
  <c r="K6" i="6" a="1"/>
  <c r="K6" i="6" s="1"/>
  <c r="M7" i="5" a="1"/>
  <c r="M7" i="5" s="1"/>
  <c r="C7" i="5" a="1"/>
  <c r="C7" i="5" s="1"/>
  <c r="K5" i="14" a="1"/>
  <c r="K5" i="14" s="1"/>
  <c r="C5" i="14" a="1"/>
  <c r="C5" i="14" s="1"/>
  <c r="K5" i="15" a="1"/>
  <c r="K5" i="15" s="1"/>
  <c r="C5" i="15" a="1"/>
  <c r="C5" i="15" s="1"/>
  <c r="Y6" i="17" a="1"/>
  <c r="Y6" i="17" s="1"/>
  <c r="O6" i="18" s="1"/>
  <c r="M6" i="17" a="1"/>
  <c r="M6" i="17" s="1"/>
  <c r="K6" i="2" s="1"/>
  <c r="M9" i="18"/>
  <c r="A3" i="18"/>
  <c r="A3" i="13"/>
  <c r="M8" i="14"/>
  <c r="M9" i="14"/>
  <c r="M10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G10" i="6"/>
  <c r="S8" i="18"/>
  <c r="Q22" i="14" l="1"/>
  <c r="Q16" i="14"/>
  <c r="Q15" i="14"/>
  <c r="Q24" i="14"/>
  <c r="Q23" i="14"/>
  <c r="O16" i="5" s="1"/>
  <c r="S16" i="5" s="1"/>
  <c r="U16" i="5" s="1"/>
  <c r="Q21" i="14"/>
  <c r="Q26" i="14"/>
  <c r="Q20" i="14"/>
  <c r="Q14" i="14"/>
  <c r="Q25" i="14"/>
  <c r="Q19" i="14"/>
  <c r="O21" i="5" s="1"/>
  <c r="S21" i="5" s="1"/>
  <c r="U21" i="5" s="1"/>
  <c r="Q13" i="14"/>
  <c r="Q18" i="14"/>
  <c r="Q12" i="14"/>
  <c r="O30" i="5" s="1"/>
  <c r="S30" i="5" s="1"/>
  <c r="U30" i="5" s="1"/>
  <c r="Q17" i="14"/>
  <c r="O20" i="5"/>
  <c r="S20" i="5" s="1"/>
  <c r="U20" i="5" s="1"/>
  <c r="O24" i="5"/>
  <c r="S24" i="5" s="1"/>
  <c r="U24" i="5" s="1"/>
  <c r="O17" i="5"/>
  <c r="S17" i="5" s="1"/>
  <c r="O25" i="5"/>
  <c r="S25" i="5" s="1"/>
  <c r="U25" i="5" s="1"/>
  <c r="G14" i="6"/>
  <c r="I10" i="6"/>
  <c r="I14" i="6" s="1"/>
  <c r="O18" i="5"/>
  <c r="S18" i="5" s="1"/>
  <c r="U18" i="5" s="1"/>
  <c r="O26" i="5"/>
  <c r="S26" i="5" s="1"/>
  <c r="U26" i="5" s="1"/>
  <c r="O13" i="5"/>
  <c r="O27" i="5"/>
  <c r="S27" i="5" s="1"/>
  <c r="U27" i="5" s="1"/>
  <c r="O14" i="5"/>
  <c r="S14" i="5" s="1"/>
  <c r="U14" i="5" s="1"/>
  <c r="O28" i="5"/>
  <c r="S28" i="5" s="1"/>
  <c r="U28" i="5" s="1"/>
  <c r="O15" i="5"/>
  <c r="S15" i="5" s="1"/>
  <c r="U15" i="5" s="1"/>
  <c r="O22" i="5"/>
  <c r="S22" i="5" s="1"/>
  <c r="U22" i="5" s="1"/>
  <c r="M28" i="14"/>
  <c r="Q6" i="2"/>
  <c r="E5" i="11"/>
  <c r="O32" i="5" l="1"/>
  <c r="S13" i="5"/>
  <c r="U13" i="5" s="1"/>
  <c r="Q28" i="14"/>
  <c r="U17" i="5"/>
  <c r="E10" i="11"/>
  <c r="I10" i="11" s="1"/>
  <c r="S32" i="5" l="1"/>
  <c r="I8" i="7"/>
  <c r="I9" i="7"/>
  <c r="E9" i="7"/>
  <c r="E9" i="11" l="1"/>
  <c r="M11" i="6"/>
  <c r="Q11" i="6" s="1"/>
  <c r="M12" i="6"/>
  <c r="Q12" i="6" s="1"/>
  <c r="M10" i="6"/>
  <c r="M13" i="6"/>
  <c r="Q13" i="6" s="1"/>
  <c r="Q10" i="6" l="1"/>
  <c r="Q14" i="6" s="1"/>
  <c r="M14" i="6"/>
  <c r="I9" i="11"/>
  <c r="S9" i="18"/>
  <c r="Q9" i="18"/>
  <c r="O9" i="18"/>
  <c r="K9" i="18"/>
  <c r="I9" i="18"/>
  <c r="A3" i="17"/>
  <c r="U32" i="5" l="1"/>
  <c r="E7" i="11" l="1"/>
  <c r="K32" i="5"/>
  <c r="I7" i="11" l="1"/>
  <c r="I11" i="11" s="1"/>
  <c r="E11" i="11"/>
  <c r="G7" i="11" s="1"/>
  <c r="Q9" i="13"/>
  <c r="J9" i="18"/>
  <c r="L9" i="18"/>
  <c r="N9" i="18"/>
  <c r="R9" i="18"/>
  <c r="G9" i="11" l="1"/>
  <c r="G8" i="11"/>
  <c r="G10" i="11"/>
  <c r="D14" i="6"/>
  <c r="F14" i="6"/>
  <c r="H14" i="6"/>
  <c r="J14" i="6"/>
  <c r="L14" i="6"/>
  <c r="N14" i="6"/>
  <c r="P14" i="6"/>
  <c r="G11" i="11" l="1"/>
  <c r="A3" i="14"/>
  <c r="A3" i="8" l="1"/>
  <c r="A3" i="7"/>
  <c r="A3" i="6"/>
  <c r="A3" i="5"/>
  <c r="A3" i="15"/>
  <c r="A3" i="2" l="1"/>
  <c r="A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3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<sst xmlns="http://schemas.openxmlformats.org/spreadsheetml/2006/main" count="340" uniqueCount="145">
  <si>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</si>
  <si>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</si>
  <si>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</si>
  <si>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</si>
  <si>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</si>
  <si>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</si>
  <si>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</si>
  <si>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</si>
  <si>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</si>
  <si>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</si>
  <si>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</si>
  <si>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</si>
  <si>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</si>
  <si>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</si>
  <si>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</si>
  <si>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</si>
  <si>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</si>
  <si>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</si>
  <si>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</si>
  <si>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</si>
  <si>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</si>
  <si>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</si>
  <si>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</si>
  <si>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</si>
  <si>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</si>
  <si>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</si>
  <si>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</si>
  <si>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</si>
  <si>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</si>
  <si>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</si>
  <si>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</si>
  <si>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</si>
  <si>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</si>
  <si>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</si>
  <si>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</si>
  <si>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</si>
  <si>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</si>
  <si>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</si>
  <si>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</si>
  <si>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</si>
  <si>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</si>
  <si>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</si>
  <si>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</si>
  <si>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</si>
  <si>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</si>
  <si>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</si>
  <si>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</si>
  <si>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</si>
  <si>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</si>
  <si>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</si>
  <si>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</si>
  <si>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</si>
  <si>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</si>
  <si>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</si>
  <si>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</si>
  <si>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</si>
  <si>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</si>
  <si>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</si>
  <si>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</si>
  <si>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</si>
  <si>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</si>
  <si>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</si>
  <si>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</si>
  <si>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</si>
  <si>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</si>
  <si>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</si>
  <si>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</si>
  <si>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</si>
  <si>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</si>
  <si>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</si>
  <si>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</si>
  <si>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</si>
  <si>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</si>
  <si>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</si>
  <si>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</si>
  <si>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</si>
  <si>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</si>
  <si>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</si>
  <si>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</si>
  <si>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</si>
  <si>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</si>
  <si>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</si>
  <si>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</si>
  <si>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</si>
  <si>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</si>
  <si>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</si>
  <si>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</si>
  <si>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</si>
  <si>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</si>
  <si>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</si>
  <si>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</si>
  <si>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</si>
  <si>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کوتاه مدت</t>
  </si>
  <si>
    <t>-</t>
  </si>
  <si>
    <t>صندوق سرمایه گذاری با تضمین اصل سرمایه کیان</t>
  </si>
  <si>
    <t>فولاد کاوه جنوب کیش (کاوه)</t>
  </si>
  <si>
    <t>سر. غدیر (وغدیر)</t>
  </si>
  <si>
    <t>صنایع پتروشیمی کرمانشاه (کرماشا)</t>
  </si>
  <si>
    <t>سر. صندوق بازنشستگی (وصندوق)</t>
  </si>
  <si>
    <t>پتروشیمی جم (جم)</t>
  </si>
  <si>
    <t>مبین انرژی خلیج فارس (مبین)</t>
  </si>
  <si>
    <t>توسعه معدنی و صنعتی صبانور (کنور)</t>
  </si>
  <si>
    <t>بانک خاورمیانه (وخاور)</t>
  </si>
  <si>
    <t>کوتاه مدت خاورمیانه</t>
  </si>
  <si>
    <t>پاسارگاد209.8100.15644767.1 -کوتاه مدت</t>
  </si>
  <si>
    <t>209.8100.15644767.1</t>
  </si>
  <si>
    <t>درآمد حاصل از سرمایه­گذاری در سهام و حق تقدم سهام و صندوق‌های سرمایه‌گذاری</t>
  </si>
  <si>
    <t>کارمزد ابطال واحدهای سرمایه گذاری</t>
  </si>
  <si>
    <t>سیمان صوفیان (سصوفی)</t>
  </si>
  <si>
    <t>صبا فولاد خلیج فارس (فصبا)</t>
  </si>
  <si>
    <t>بین المللی توسعه صنایع و معادن غدیر (وکغدیر)</t>
  </si>
  <si>
    <t>سیمان آبیک (سآبیک)</t>
  </si>
  <si>
    <t>پتروشیمی تندگویان (شگویا)</t>
  </si>
  <si>
    <t>سیمان خاش (سخاش)</t>
  </si>
  <si>
    <t>سیمان مازندران (سمازن)</t>
  </si>
  <si>
    <t>سپید ماکیان (سپید)</t>
  </si>
  <si>
    <t>مولد نیروگاهی تجارت فارس (بمولد)</t>
  </si>
  <si>
    <t>1005/10/810/707074934</t>
  </si>
  <si>
    <t>اسناد خزانه-م1بودجه01-040326 (اخزا101)</t>
  </si>
  <si>
    <t>بلی</t>
  </si>
  <si>
    <t>1401/02/26</t>
  </si>
  <si>
    <t>1404/03/26</t>
  </si>
  <si>
    <t>1000000.0000</t>
  </si>
  <si>
    <t>1402/09/30</t>
  </si>
  <si>
    <t>آهن و فولاد غدیر ایرانیان (فغدیر)</t>
  </si>
  <si>
    <t>پتروشیمی مبین (حق تقدم) (مبینح)</t>
  </si>
  <si>
    <t>گروه مالی صبا تامین (صبا)</t>
  </si>
  <si>
    <t>اسناد خزانه-م3بودجه01-040520 (اخزا103)</t>
  </si>
  <si>
    <t>اسنادخزانه-م7بودجه01-040714 (اخزا107)</t>
  </si>
  <si>
    <t>اسنادخزانه-م1بودجه02-050325 (اخزا201)</t>
  </si>
  <si>
    <t>1401/05/18</t>
  </si>
  <si>
    <t>1401/12/10</t>
  </si>
  <si>
    <t>1402/06/19</t>
  </si>
  <si>
    <t>1404/05/20</t>
  </si>
  <si>
    <t>1404/07/14</t>
  </si>
  <si>
    <t>1405/03/25</t>
  </si>
  <si>
    <t>تعدیل کارمزد کارگزاری</t>
  </si>
  <si>
    <t>A7,اوراق!$A$9:$W$12,22,0)</t>
  </si>
  <si>
    <t>منتهی به 1402/10/30</t>
  </si>
  <si>
    <t>برای ماه منتهی به 1402/10/30</t>
  </si>
  <si>
    <t>1402/10/30</t>
  </si>
  <si>
    <t>طی دی ماه</t>
  </si>
  <si>
    <t>از ابتدای سال مالی تا پایان دی ماه</t>
  </si>
  <si>
    <t>پالایش نفت تبریز (شبریز)</t>
  </si>
  <si>
    <t>1402/10/24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</si>
</sst>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(* #,##0.000_);_(* \(#,##0.000\);_(* &quot;-&quot;??_);_(@_)"/>
    <numFmt numFmtId="167" formatCode="_(* #,##0.000000_);_(* \(#,##0.000000\);_(* &quot;-&quot;??_);_(@_)"/>
  </numFmts>
  <fonts count="5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  <font>
      <sz val="11"/>
      <color theme="1"/>
      <name val="Tahoma"/>
      <family val="2"/>
    </font>
    <font>
      <b/>
      <sz val="11"/>
      <color rgb="FF2E2E2E"/>
      <name val="IranSansFaNum"/>
    </font>
    <font>
      <sz val="18"/>
      <color theme="1"/>
      <name val="B Mitra"/>
      <charset val="178"/>
    </font>
    <font>
      <sz val="10"/>
      <color rgb="FF3C464A"/>
      <name val="Tahoma"/>
      <family val="2"/>
    </font>
    <font>
      <b/>
      <sz val="9"/>
      <color rgb="FF00A651"/>
      <name val="IranSansFaNum"/>
    </font>
    <font>
      <b/>
      <sz val="13"/>
      <color theme="1"/>
      <name val="B Mitra"/>
      <charset val="178"/>
    </font>
    <font>
      <sz val="16"/>
      <name val="B Mitra"/>
      <charset val="178"/>
    </font>
    <font>
      <b/>
      <sz val="16"/>
      <color rgb="FF2E2E2E"/>
      <name val="IranSansFaNum"/>
    </font>
    <font>
      <b/>
      <sz val="9"/>
      <color rgb="FFD42020"/>
      <name val="IranSansFaNum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D5D5D5"/>
      </left>
      <right/>
      <top/>
      <bottom/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</cellStyleXfs>
  <cellXfs count="316">
    <xf numFmtId="0" fontId="0" fillId="0" borderId="0" xfId="0"/>
    <xf numFmtId="0" fontId="14" fillId="0" borderId="0" xfId="0" applyFont="1"/>
    <xf numFmtId="165" fontId="10" fillId="0" borderId="0" xfId="1" applyNumberFormat="1" applyFont="1" applyFill="1"/>
    <xf numFmtId="0" fontId="32" fillId="0" borderId="0" xfId="0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4" fontId="5" fillId="0" borderId="0" xfId="1" applyNumberFormat="1" applyFont="1" applyFill="1" applyBorder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vertical="center" wrapText="1"/>
    </xf>
    <xf numFmtId="164" fontId="20" fillId="0" borderId="1" xfId="1" applyNumberFormat="1" applyFont="1" applyFill="1" applyBorder="1"/>
    <xf numFmtId="164" fontId="18" fillId="0" borderId="1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14" fillId="0" borderId="0" xfId="1" applyNumberFormat="1" applyFont="1" applyFill="1"/>
    <xf numFmtId="164" fontId="14" fillId="0" borderId="0" xfId="1" applyNumberFormat="1" applyFont="1" applyFill="1" applyAlignment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164" fontId="15" fillId="0" borderId="4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/>
    <xf numFmtId="164" fontId="20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164" fontId="41" fillId="0" borderId="0" xfId="1" applyNumberFormat="1" applyFont="1" applyFill="1" applyBorder="1" applyAlignment="1">
      <alignment vertical="center"/>
    </xf>
    <xf numFmtId="164" fontId="41" fillId="0" borderId="0" xfId="1" applyNumberFormat="1" applyFont="1" applyFill="1" applyAlignment="1">
      <alignment vertical="center"/>
    </xf>
    <xf numFmtId="43" fontId="20" fillId="0" borderId="0" xfId="1" applyFont="1" applyFill="1" applyAlignment="1">
      <alignment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165" fontId="14" fillId="0" borderId="0" xfId="1" applyNumberFormat="1" applyFont="1" applyFill="1"/>
    <xf numFmtId="165" fontId="15" fillId="0" borderId="0" xfId="1" applyNumberFormat="1" applyFont="1" applyFill="1"/>
    <xf numFmtId="165" fontId="15" fillId="0" borderId="0" xfId="1" applyNumberFormat="1" applyFont="1" applyFill="1" applyAlignment="1">
      <alignment vertic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165" fontId="24" fillId="0" borderId="1" xfId="1" applyNumberFormat="1" applyFont="1" applyFill="1" applyBorder="1" applyAlignment="1">
      <alignment horizontal="center" vertical="center" wrapText="1" readingOrder="2"/>
    </xf>
    <xf numFmtId="165" fontId="23" fillId="0" borderId="4" xfId="1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4" fontId="40" fillId="0" borderId="0" xfId="1" applyNumberFormat="1" applyFont="1" applyFill="1" applyAlignment="1">
      <alignment vertical="center"/>
    </xf>
    <xf numFmtId="165" fontId="40" fillId="0" borderId="0" xfId="1" applyNumberFormat="1" applyFont="1" applyFill="1" applyAlignment="1">
      <alignment vertical="center"/>
    </xf>
    <xf numFmtId="164" fontId="28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164" fontId="10" fillId="0" borderId="0" xfId="1" applyNumberFormat="1" applyFont="1" applyFill="1"/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 wrapText="1"/>
    </xf>
    <xf numFmtId="164" fontId="22" fillId="0" borderId="0" xfId="1" applyNumberFormat="1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22" fillId="0" borderId="9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vertical="center"/>
    </xf>
    <xf numFmtId="10" fontId="6" fillId="0" borderId="0" xfId="1" applyNumberFormat="1" applyFont="1" applyFill="1" applyAlignment="1">
      <alignment vertical="center"/>
    </xf>
    <xf numFmtId="9" fontId="6" fillId="0" borderId="0" xfId="1" applyNumberFormat="1" applyFont="1" applyFill="1" applyAlignment="1">
      <alignment vertical="center"/>
    </xf>
    <xf numFmtId="10" fontId="8" fillId="0" borderId="8" xfId="2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 readingOrder="2"/>
    </xf>
    <xf numFmtId="0" fontId="5" fillId="0" borderId="0" xfId="0" applyFont="1" applyFill="1" applyAlignment="1">
      <alignment vertical="center" wrapText="1" readingOrder="2"/>
    </xf>
    <xf numFmtId="0" fontId="6" fillId="0" borderId="0" xfId="0" applyFont="1" applyFill="1" applyAlignment="1">
      <alignment vertical="center" wrapText="1" readingOrder="2"/>
    </xf>
    <xf numFmtId="0" fontId="6" fillId="0" borderId="0" xfId="0" applyFont="1" applyFill="1" applyAlignment="1">
      <alignment horizontal="center" vertical="center" readingOrder="2"/>
    </xf>
    <xf numFmtId="37" fontId="8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3" fontId="43" fillId="0" borderId="0" xfId="0" applyNumberFormat="1" applyFont="1" applyFill="1"/>
    <xf numFmtId="166" fontId="6" fillId="0" borderId="0" xfId="0" applyNumberFormat="1" applyFont="1" applyFill="1" applyAlignment="1">
      <alignment vertical="center"/>
    </xf>
    <xf numFmtId="0" fontId="16" fillId="0" borderId="0" xfId="0" applyFont="1" applyFill="1"/>
    <xf numFmtId="0" fontId="20" fillId="0" borderId="0" xfId="0" applyFont="1" applyFill="1"/>
    <xf numFmtId="0" fontId="20" fillId="0" borderId="1" xfId="0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vertical="center" wrapText="1" readingOrder="2"/>
    </xf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0" applyNumberFormat="1" applyFont="1" applyFill="1"/>
    <xf numFmtId="0" fontId="10" fillId="0" borderId="0" xfId="0" applyFont="1" applyFill="1"/>
    <xf numFmtId="164" fontId="16" fillId="0" borderId="0" xfId="0" applyNumberFormat="1" applyFont="1" applyFill="1"/>
    <xf numFmtId="0" fontId="34" fillId="0" borderId="0" xfId="0" applyFont="1" applyFill="1" applyAlignment="1">
      <alignment horizontal="center"/>
    </xf>
    <xf numFmtId="0" fontId="14" fillId="0" borderId="0" xfId="0" applyFont="1" applyFill="1"/>
    <xf numFmtId="3" fontId="34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right" vertical="center" readingOrder="2"/>
    </xf>
    <xf numFmtId="0" fontId="19" fillId="0" borderId="0" xfId="0" applyFont="1" applyFill="1" applyAlignment="1">
      <alignment vertical="center" readingOrder="2"/>
    </xf>
    <xf numFmtId="0" fontId="36" fillId="0" borderId="0" xfId="0" applyFont="1" applyFill="1" applyAlignment="1">
      <alignment horizontal="right" vertical="center" readingOrder="2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164" fontId="34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horizontal="right" vertical="center" readingOrder="2"/>
    </xf>
    <xf numFmtId="49" fontId="20" fillId="0" borderId="0" xfId="0" applyNumberFormat="1" applyFont="1" applyFill="1" applyAlignment="1">
      <alignment horizontal="center" vertical="center" readingOrder="2"/>
    </xf>
    <xf numFmtId="164" fontId="18" fillId="0" borderId="0" xfId="1" applyNumberFormat="1" applyFont="1" applyFill="1" applyAlignment="1">
      <alignment horizontal="right" vertical="center" readingOrder="2"/>
    </xf>
    <xf numFmtId="2" fontId="18" fillId="0" borderId="0" xfId="0" applyNumberFormat="1" applyFont="1" applyFill="1" applyAlignment="1">
      <alignment horizontal="center" vertical="center" readingOrder="2"/>
    </xf>
    <xf numFmtId="0" fontId="18" fillId="0" borderId="0" xfId="0" applyFont="1" applyFill="1" applyAlignment="1">
      <alignment horizontal="center" vertical="center" readingOrder="2"/>
    </xf>
    <xf numFmtId="40" fontId="18" fillId="0" borderId="0" xfId="0" applyNumberFormat="1" applyFont="1" applyFill="1" applyAlignment="1">
      <alignment horizontal="center" vertical="center" wrapText="1" readingOrder="2"/>
    </xf>
    <xf numFmtId="164" fontId="14" fillId="0" borderId="0" xfId="0" applyNumberFormat="1" applyFont="1" applyFill="1"/>
    <xf numFmtId="164" fontId="42" fillId="0" borderId="0" xfId="0" applyNumberFormat="1" applyFont="1" applyFill="1"/>
    <xf numFmtId="164" fontId="18" fillId="0" borderId="16" xfId="1" applyNumberFormat="1" applyFont="1" applyFill="1" applyBorder="1" applyAlignment="1">
      <alignment horizontal="right" vertical="center" readingOrder="2"/>
    </xf>
    <xf numFmtId="0" fontId="20" fillId="0" borderId="0" xfId="0" applyFont="1" applyFill="1" applyAlignment="1">
      <alignment horizontal="right" vertical="center"/>
    </xf>
    <xf numFmtId="38" fontId="18" fillId="0" borderId="10" xfId="0" applyNumberFormat="1" applyFont="1" applyFill="1" applyBorder="1" applyAlignment="1">
      <alignment horizontal="right" vertical="center" readingOrder="2"/>
    </xf>
    <xf numFmtId="2" fontId="18" fillId="0" borderId="2" xfId="0" applyNumberFormat="1" applyFont="1" applyFill="1" applyBorder="1" applyAlignment="1">
      <alignment horizontal="center" vertical="center" readingOrder="2"/>
    </xf>
    <xf numFmtId="40" fontId="18" fillId="0" borderId="3" xfId="0" applyNumberFormat="1" applyFont="1" applyFill="1" applyBorder="1" applyAlignment="1">
      <alignment horizontal="center" vertical="center" readingOrder="2"/>
    </xf>
    <xf numFmtId="0" fontId="14" fillId="0" borderId="0" xfId="0" applyFont="1" applyFill="1" applyAlignment="1">
      <alignment horizontal="right" vertical="center"/>
    </xf>
    <xf numFmtId="0" fontId="35" fillId="0" borderId="0" xfId="0" applyFont="1" applyFill="1"/>
    <xf numFmtId="3" fontId="43" fillId="0" borderId="0" xfId="0" applyNumberFormat="1" applyFont="1" applyFill="1" applyAlignment="1">
      <alignment vertical="center"/>
    </xf>
    <xf numFmtId="3" fontId="43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64" fontId="10" fillId="0" borderId="0" xfId="0" applyNumberFormat="1" applyFont="1" applyFill="1"/>
    <xf numFmtId="37" fontId="27" fillId="0" borderId="11" xfId="0" applyNumberFormat="1" applyFont="1" applyFill="1" applyBorder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3" fontId="14" fillId="0" borderId="0" xfId="0" applyNumberFormat="1" applyFont="1" applyFill="1"/>
    <xf numFmtId="37" fontId="13" fillId="0" borderId="9" xfId="0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vertical="center"/>
    </xf>
    <xf numFmtId="164" fontId="13" fillId="0" borderId="9" xfId="0" applyNumberFormat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vertical="center"/>
    </xf>
    <xf numFmtId="37" fontId="13" fillId="0" borderId="1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vertical="center"/>
    </xf>
    <xf numFmtId="2" fontId="10" fillId="0" borderId="0" xfId="0" applyNumberFormat="1" applyFont="1" applyFill="1" applyAlignment="1">
      <alignment vertical="center"/>
    </xf>
    <xf numFmtId="3" fontId="14" fillId="0" borderId="0" xfId="0" applyNumberFormat="1" applyFont="1" applyFill="1"/>
    <xf numFmtId="37" fontId="13" fillId="0" borderId="0" xfId="0" quotePrefix="1" applyNumberFormat="1" applyFont="1" applyFill="1" applyAlignment="1">
      <alignment horizontal="right" vertical="center" wrapText="1"/>
    </xf>
    <xf numFmtId="3" fontId="44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23" fillId="0" borderId="0" xfId="0" applyFont="1" applyFill="1" applyAlignment="1">
      <alignment vertical="center" wrapText="1" readingOrder="2"/>
    </xf>
    <xf numFmtId="165" fontId="23" fillId="0" borderId="4" xfId="0" applyNumberFormat="1" applyFont="1" applyFill="1" applyBorder="1" applyAlignment="1">
      <alignment horizontal="center" vertical="center" wrapText="1" readingOrder="2"/>
    </xf>
    <xf numFmtId="0" fontId="23" fillId="0" borderId="4" xfId="0" applyFont="1" applyFill="1" applyBorder="1" applyAlignment="1">
      <alignment horizontal="center" vertical="center" wrapText="1" readingOrder="2"/>
    </xf>
    <xf numFmtId="37" fontId="8" fillId="0" borderId="0" xfId="0" quotePrefix="1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64" fontId="9" fillId="0" borderId="8" xfId="1" applyNumberFormat="1" applyFont="1" applyFill="1" applyBorder="1" applyAlignment="1">
      <alignment vertical="center"/>
    </xf>
    <xf numFmtId="164" fontId="9" fillId="0" borderId="0" xfId="1" applyNumberFormat="1" applyFont="1" applyFill="1" applyAlignment="1">
      <alignment vertical="center"/>
    </xf>
    <xf numFmtId="37" fontId="37" fillId="0" borderId="0" xfId="0" applyNumberFormat="1" applyFont="1" applyFill="1" applyAlignment="1">
      <alignment horizontal="center" vertical="center"/>
    </xf>
    <xf numFmtId="10" fontId="23" fillId="0" borderId="8" xfId="2" applyNumberFormat="1" applyFont="1" applyFill="1" applyBorder="1" applyAlignment="1">
      <alignment horizontal="center" vertical="center" wrapText="1" readingOrder="2"/>
    </xf>
    <xf numFmtId="165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40" fillId="0" borderId="0" xfId="0" applyFont="1" applyFill="1" applyAlignment="1">
      <alignment vertical="center"/>
    </xf>
    <xf numFmtId="165" fontId="40" fillId="0" borderId="0" xfId="0" applyNumberFormat="1" applyFont="1" applyFill="1" applyAlignment="1">
      <alignment vertical="center"/>
    </xf>
    <xf numFmtId="0" fontId="28" fillId="0" borderId="15" xfId="0" applyFont="1" applyFill="1" applyBorder="1" applyAlignment="1">
      <alignment horizontal="center" vertical="center" wrapText="1" readingOrder="2"/>
    </xf>
    <xf numFmtId="37" fontId="31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 readingOrder="2"/>
    </xf>
    <xf numFmtId="10" fontId="38" fillId="0" borderId="2" xfId="2" applyNumberFormat="1" applyFont="1" applyFill="1" applyBorder="1" applyAlignment="1">
      <alignment horizontal="center" vertical="center" wrapText="1" readingOrder="2"/>
    </xf>
    <xf numFmtId="3" fontId="10" fillId="0" borderId="0" xfId="0" applyNumberFormat="1" applyFont="1" applyFill="1"/>
    <xf numFmtId="0" fontId="18" fillId="0" borderId="0" xfId="0" applyFont="1" applyFill="1"/>
    <xf numFmtId="0" fontId="28" fillId="0" borderId="1" xfId="0" applyFont="1" applyFill="1" applyBorder="1" applyAlignment="1">
      <alignment horizontal="right" vertical="center" wrapText="1" readingOrder="2"/>
    </xf>
    <xf numFmtId="0" fontId="28" fillId="0" borderId="0" xfId="0" applyFont="1" applyFill="1" applyAlignment="1">
      <alignment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3" fontId="45" fillId="0" borderId="0" xfId="0" applyNumberFormat="1" applyFont="1" applyFill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3" fontId="20" fillId="0" borderId="0" xfId="0" applyNumberFormat="1" applyFont="1" applyFill="1"/>
    <xf numFmtId="0" fontId="46" fillId="0" borderId="0" xfId="0" applyFont="1" applyFill="1"/>
    <xf numFmtId="164" fontId="18" fillId="0" borderId="0" xfId="1" applyNumberFormat="1" applyFont="1" applyAlignment="1">
      <alignment vertical="center"/>
    </xf>
    <xf numFmtId="37" fontId="27" fillId="0" borderId="1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7" fontId="33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" fontId="43" fillId="0" borderId="17" xfId="0" applyNumberFormat="1" applyFont="1" applyFill="1" applyBorder="1" applyAlignment="1">
      <alignment vertical="center" wrapText="1"/>
    </xf>
    <xf numFmtId="3" fontId="47" fillId="0" borderId="0" xfId="0" applyNumberFormat="1" applyFont="1" applyFill="1"/>
    <xf numFmtId="165" fontId="10" fillId="0" borderId="0" xfId="1" applyNumberFormat="1" applyFont="1" applyFill="1" applyAlignment="1"/>
    <xf numFmtId="0" fontId="28" fillId="0" borderId="1" xfId="0" applyFont="1" applyFill="1" applyBorder="1" applyAlignment="1">
      <alignment vertical="center" wrapText="1" readingOrder="2"/>
    </xf>
    <xf numFmtId="164" fontId="18" fillId="0" borderId="8" xfId="1" applyNumberFormat="1" applyFont="1" applyFill="1" applyBorder="1" applyAlignment="1">
      <alignment vertical="center"/>
    </xf>
    <xf numFmtId="164" fontId="30" fillId="0" borderId="0" xfId="1" applyNumberFormat="1" applyFont="1" applyFill="1" applyBorder="1" applyAlignment="1">
      <alignment vertical="center" wrapText="1" readingOrder="2"/>
    </xf>
    <xf numFmtId="37" fontId="50" fillId="0" borderId="0" xfId="0" applyNumberFormat="1" applyFont="1" applyFill="1" applyAlignment="1">
      <alignment horizontal="center" vertical="center" wrapText="1"/>
    </xf>
    <xf numFmtId="37" fontId="50" fillId="0" borderId="0" xfId="0" applyNumberFormat="1" applyFont="1" applyFill="1" applyAlignment="1">
      <alignment horizontal="center" vertical="center"/>
    </xf>
    <xf numFmtId="164" fontId="46" fillId="0" borderId="0" xfId="0" applyNumberFormat="1" applyFont="1" applyFill="1"/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22" fillId="0" borderId="8" xfId="1" applyNumberFormat="1" applyFont="1" applyFill="1" applyBorder="1" applyAlignment="1">
      <alignment vertical="center"/>
    </xf>
    <xf numFmtId="3" fontId="51" fillId="0" borderId="0" xfId="0" applyNumberFormat="1" applyFont="1" applyFill="1"/>
    <xf numFmtId="10" fontId="15" fillId="0" borderId="0" xfId="2" applyNumberFormat="1" applyFont="1" applyFill="1" applyAlignment="1">
      <alignment horizontal="center" vertical="center"/>
    </xf>
    <xf numFmtId="3" fontId="51" fillId="0" borderId="17" xfId="0" applyNumberFormat="1" applyFont="1" applyFill="1" applyBorder="1" applyAlignment="1">
      <alignment vertical="center" wrapText="1"/>
    </xf>
    <xf numFmtId="164" fontId="15" fillId="0" borderId="0" xfId="1" applyNumberFormat="1" applyFont="1" applyFill="1" applyAlignment="1">
      <alignment vertical="center" wrapText="1"/>
    </xf>
    <xf numFmtId="1" fontId="10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 readingOrder="2"/>
    </xf>
    <xf numFmtId="16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 readingOrder="2"/>
    </xf>
    <xf numFmtId="165" fontId="14" fillId="0" borderId="0" xfId="0" applyNumberFormat="1" applyFont="1" applyFill="1"/>
    <xf numFmtId="0" fontId="32" fillId="0" borderId="0" xfId="0" applyFont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 readingOrder="2"/>
    </xf>
    <xf numFmtId="0" fontId="9" fillId="0" borderId="1" xfId="0" applyFont="1" applyFill="1" applyBorder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0" fontId="18" fillId="0" borderId="4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15" fillId="0" borderId="1" xfId="0" applyFont="1" applyFill="1" applyBorder="1" applyAlignment="1">
      <alignment horizontal="center"/>
    </xf>
    <xf numFmtId="164" fontId="23" fillId="0" borderId="1" xfId="1" applyNumberFormat="1" applyFont="1" applyFill="1" applyBorder="1" applyAlignment="1">
      <alignment horizontal="center" vertical="center" wrapText="1" readingOrder="2"/>
    </xf>
    <xf numFmtId="37" fontId="27" fillId="0" borderId="11" xfId="0" applyNumberFormat="1" applyFont="1" applyFill="1" applyBorder="1" applyAlignment="1">
      <alignment horizontal="center" vertical="center"/>
    </xf>
    <xf numFmtId="0" fontId="14" fillId="0" borderId="12" xfId="0" applyFont="1" applyFill="1" applyBorder="1"/>
    <xf numFmtId="0" fontId="22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 vertical="center" readingOrder="2"/>
    </xf>
    <xf numFmtId="165" fontId="25" fillId="0" borderId="0" xfId="1" applyNumberFormat="1" applyFont="1" applyFill="1" applyAlignment="1">
      <alignment horizontal="right" vertical="center" readingOrder="2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49" fillId="0" borderId="0" xfId="0" applyFont="1" applyFill="1" applyAlignment="1">
      <alignment horizontal="center" vertic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65" fontId="15" fillId="0" borderId="3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164" fontId="23" fillId="0" borderId="3" xfId="1" applyNumberFormat="1" applyFont="1" applyFill="1" applyBorder="1" applyAlignment="1">
      <alignment horizontal="center" vertical="center" wrapText="1" readingOrder="2"/>
    </xf>
    <xf numFmtId="164" fontId="23" fillId="0" borderId="0" xfId="1" applyNumberFormat="1" applyFont="1" applyFill="1" applyBorder="1" applyAlignment="1">
      <alignment horizontal="center" vertical="center" wrapText="1" readingOrder="2"/>
    </xf>
    <xf numFmtId="165" fontId="23" fillId="0" borderId="3" xfId="1" applyNumberFormat="1" applyFont="1" applyFill="1" applyBorder="1" applyAlignment="1">
      <alignment horizontal="center" vertical="center" wrapText="1" readingOrder="2"/>
    </xf>
    <xf numFmtId="165" fontId="23" fillId="0" borderId="0" xfId="1" applyNumberFormat="1" applyFont="1" applyFill="1" applyBorder="1" applyAlignment="1">
      <alignment horizontal="center" vertical="center" wrapText="1" readingOrder="2"/>
    </xf>
    <xf numFmtId="0" fontId="23" fillId="0" borderId="3" xfId="0" applyFont="1" applyFill="1" applyBorder="1" applyAlignment="1">
      <alignment horizontal="center" vertical="center" wrapText="1" readingOrder="2"/>
    </xf>
    <xf numFmtId="0" fontId="23" fillId="0" borderId="1" xfId="0" applyFont="1" applyFill="1" applyBorder="1" applyAlignment="1">
      <alignment horizontal="center" vertical="center" wrapText="1" readingOrder="2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8" fillId="0" borderId="3" xfId="0" applyFont="1" applyFill="1" applyBorder="1" applyAlignment="1">
      <alignment horizontal="center" vertical="center" wrapText="1" readingOrder="2"/>
    </xf>
    <xf numFmtId="0" fontId="28" fillId="0" borderId="0" xfId="0" applyFont="1" applyFill="1" applyAlignment="1">
      <alignment horizontal="center" vertical="center" wrapText="1" readingOrder="2"/>
    </xf>
    <xf numFmtId="0" fontId="28" fillId="0" borderId="1" xfId="0" applyFont="1" applyFill="1" applyBorder="1" applyAlignment="1">
      <alignment horizontal="center" vertical="center" wrapText="1" readingOrder="2"/>
    </xf>
    <xf numFmtId="0" fontId="22" fillId="0" borderId="1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164" fontId="12" fillId="0" borderId="8" xfId="1" applyNumberFormat="1" applyFont="1" applyFill="1" applyBorder="1" applyAlignment="1">
      <alignment vertical="center"/>
    </xf>
    <xf numFmtId="3" fontId="48" fillId="0" borderId="0" xfId="0" applyNumberFormat="1" applyFont="1" applyFill="1"/>
    <xf numFmtId="3" fontId="52" fillId="0" borderId="0" xfId="0" applyNumberFormat="1" applyFont="1" applyFill="1"/>
    <xf numFmtId="164" fontId="10" fillId="0" borderId="8" xfId="1" applyNumberFormat="1" applyFont="1" applyFill="1" applyBorder="1" applyAlignment="1">
      <alignment vertical="center" wrapText="1"/>
    </xf>
    <xf numFmtId="3" fontId="48" fillId="0" borderId="18" xfId="0" applyNumberFormat="1" applyFont="1" applyFill="1" applyBorder="1" applyAlignment="1">
      <alignment horizontal="right" vertical="center" indent="1"/>
    </xf>
    <xf numFmtId="164" fontId="15" fillId="0" borderId="8" xfId="1" applyNumberFormat="1" applyFont="1" applyFill="1" applyBorder="1" applyAlignment="1">
      <alignment vertical="center"/>
    </xf>
    <xf numFmtId="164" fontId="24" fillId="0" borderId="0" xfId="1" applyNumberFormat="1" applyFont="1" applyFill="1" applyBorder="1" applyAlignment="1">
      <alignment horizontal="right" vertical="center" wrapText="1" readingOrder="2"/>
    </xf>
    <xf numFmtId="164" fontId="20" fillId="0" borderId="0" xfId="1" applyNumberFormat="1" applyFont="1" applyFill="1" applyAlignment="1">
      <alignment horizontal="center" vertical="center"/>
    </xf>
    <xf numFmtId="164" fontId="20" fillId="0" borderId="2" xfId="1" applyNumberFormat="1" applyFont="1" applyFill="1" applyBorder="1" applyAlignment="1">
      <alignment vertical="center" readingOrder="2"/>
    </xf>
    <xf numFmtId="164" fontId="20" fillId="0" borderId="2" xfId="1" applyNumberFormat="1" applyFont="1" applyFill="1" applyBorder="1" applyAlignment="1">
      <alignment horizontal="center" vertical="center" readingOrder="2"/>
    </xf>
    <xf numFmtId="3" fontId="6" fillId="0" borderId="0" xfId="1" applyNumberFormat="1" applyFont="1" applyFill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 readingOrder="2"/>
    </xf>
    <xf numFmtId="164" fontId="12" fillId="0" borderId="0" xfId="0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vertical="center"/>
    </xf>
    <xf numFmtId="164" fontId="6" fillId="0" borderId="8" xfId="1" applyNumberFormat="1" applyFont="1" applyFill="1" applyBorder="1" applyAlignment="1">
      <alignment vertical="center"/>
    </xf>
    <xf numFmtId="164" fontId="6" fillId="0" borderId="8" xfId="1" applyNumberFormat="1" applyFont="1" applyFill="1" applyBorder="1" applyAlignment="1">
      <alignment horizontal="center" vertical="center"/>
    </xf>
    <xf numFmtId="3" fontId="51" fillId="0" borderId="0" xfId="0" applyNumberFormat="1" applyFont="1" applyFill="1" applyAlignment="1">
      <alignment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36</xdr:row>
      <xdr:rowOff>202266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8FECFB-882E-4E00-B7BC-F9E7CA9B9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590400" y="0"/>
          <a:ext cx="6096000" cy="7888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Normal="100" zoomScaleSheetLayoutView="100" workbookViewId="0">
      <selection activeCell="N16" sqref="N16"/>
    </sheetView>
  </sheetViews>
  <sheetFormatPr defaultColWidth="9.140625" defaultRowHeight="17.25"/>
  <cols>
    <col min="1" max="16384" width="9.140625" style="1"/>
  </cols>
  <sheetData>
    <row r="18" spans="1:13">
      <c r="M18" s="1" t="s">
        <v>59</v>
      </c>
    </row>
    <row r="24" spans="1:13" ht="15" customHeight="1">
      <c r="A24" s="214" t="s">
        <v>75</v>
      </c>
      <c r="B24" s="214"/>
      <c r="C24" s="214"/>
      <c r="D24" s="214"/>
      <c r="E24" s="214"/>
      <c r="F24" s="214"/>
      <c r="G24" s="214"/>
      <c r="H24" s="214"/>
      <c r="I24" s="214"/>
      <c r="J24" s="214"/>
      <c r="K24" s="3"/>
      <c r="L24" s="3"/>
    </row>
    <row r="25" spans="1:13" ht="15" customHeight="1">
      <c r="A25" s="214"/>
      <c r="B25" s="214"/>
      <c r="C25" s="214"/>
      <c r="D25" s="214"/>
      <c r="E25" s="214"/>
      <c r="F25" s="214"/>
      <c r="G25" s="214"/>
      <c r="H25" s="214"/>
      <c r="I25" s="214"/>
      <c r="J25" s="214"/>
      <c r="K25" s="3"/>
      <c r="L25" s="3"/>
    </row>
    <row r="26" spans="1:13" ht="15" customHeight="1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3"/>
      <c r="L26" s="3"/>
    </row>
    <row r="28" spans="1:13" ht="15" customHeight="1">
      <c r="A28" s="214" t="s">
        <v>138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</row>
    <row r="29" spans="1:13" ht="15" customHeight="1">
      <c r="A29" s="214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</row>
    <row r="30" spans="1:13" ht="15" customHeight="1">
      <c r="A30" s="214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</row>
    <row r="31" spans="1:13" ht="15" customHeight="1">
      <c r="A31" s="214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8"/>
  <sheetViews>
    <sheetView rightToLeft="1" view="pageBreakPreview" zoomScale="60" zoomScaleNormal="100" workbookViewId="0">
      <selection activeCell="C29" sqref="C29"/>
    </sheetView>
  </sheetViews>
  <sheetFormatPr defaultColWidth="9.140625" defaultRowHeight="30.75"/>
  <cols>
    <col min="1" max="1" width="55.42578125" style="62" bestFit="1" customWidth="1"/>
    <col min="2" max="2" width="1.85546875" style="62" customWidth="1"/>
    <col min="3" max="3" width="22.5703125" style="4" customWidth="1"/>
    <col min="4" max="4" width="1.140625" style="4" customWidth="1"/>
    <col min="5" max="5" width="32" style="4" customWidth="1"/>
    <col min="6" max="6" width="1.42578125" style="4" customWidth="1"/>
    <col min="7" max="7" width="32.140625" style="4" customWidth="1"/>
    <col min="8" max="8" width="1.5703125" style="4" customWidth="1"/>
    <col min="9" max="9" width="20.5703125" style="4" bestFit="1" customWidth="1"/>
    <col min="10" max="10" width="29.140625" style="4" bestFit="1" customWidth="1"/>
    <col min="11" max="11" width="1.42578125" style="4" customWidth="1"/>
    <col min="12" max="12" width="20.7109375" style="4" customWidth="1"/>
    <col min="13" max="13" width="29.140625" style="4" customWidth="1"/>
    <col min="14" max="14" width="1.140625" style="4" customWidth="1"/>
    <col min="15" max="15" width="22.5703125" style="4" bestFit="1" customWidth="1"/>
    <col min="16" max="16" width="1.42578125" style="4" customWidth="1"/>
    <col min="17" max="17" width="18.7109375" style="4" customWidth="1"/>
    <col min="18" max="18" width="1.5703125" style="4" customWidth="1"/>
    <col min="19" max="19" width="32" style="4" bestFit="1" customWidth="1"/>
    <col min="20" max="20" width="1.85546875" style="4" customWidth="1"/>
    <col min="21" max="21" width="37.42578125" style="4" bestFit="1" customWidth="1"/>
    <col min="22" max="22" width="1.5703125" style="62" customWidth="1"/>
    <col min="23" max="23" width="21.85546875" style="9" customWidth="1"/>
    <col min="24" max="24" width="21.140625" style="4" bestFit="1" customWidth="1"/>
    <col min="25" max="25" width="14.140625" style="4" bestFit="1" customWidth="1"/>
    <col min="26" max="26" width="9.140625" style="62"/>
    <col min="27" max="28" width="14.85546875" style="5" bestFit="1" customWidth="1"/>
    <col min="29" max="29" width="17.140625" style="62" bestFit="1" customWidth="1"/>
    <col min="30" max="16384" width="9.140625" style="62"/>
  </cols>
  <sheetData>
    <row r="1" spans="1:33" ht="31.5">
      <c r="A1" s="222" t="s">
        <v>94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</row>
    <row r="2" spans="1:33" ht="31.5">
      <c r="A2" s="222" t="s">
        <v>51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</row>
    <row r="3" spans="1:33" ht="31.5">
      <c r="A3" s="222" t="s">
        <v>139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</row>
    <row r="4" spans="1:33" ht="31.5">
      <c r="A4" s="228" t="s">
        <v>25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</row>
    <row r="5" spans="1:33" ht="31.5">
      <c r="A5" s="228" t="s">
        <v>26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</row>
    <row r="7" spans="1:33" ht="36.75" customHeight="1" thickBot="1">
      <c r="A7" s="63"/>
      <c r="B7" s="64"/>
      <c r="C7" s="215" t="s">
        <v>123</v>
      </c>
      <c r="D7" s="215"/>
      <c r="E7" s="215"/>
      <c r="F7" s="215"/>
      <c r="G7" s="215"/>
      <c r="H7" s="6"/>
      <c r="I7" s="229" t="s">
        <v>7</v>
      </c>
      <c r="J7" s="229"/>
      <c r="K7" s="229"/>
      <c r="L7" s="229"/>
      <c r="M7" s="229"/>
      <c r="O7" s="216" t="s">
        <v>140</v>
      </c>
      <c r="P7" s="216"/>
      <c r="Q7" s="216"/>
      <c r="R7" s="216"/>
      <c r="S7" s="216"/>
      <c r="T7" s="216"/>
      <c r="U7" s="216"/>
      <c r="V7" s="216"/>
      <c r="W7" s="216"/>
    </row>
    <row r="8" spans="1:33" ht="29.25" customHeight="1">
      <c r="A8" s="223" t="s">
        <v>1</v>
      </c>
      <c r="B8" s="65"/>
      <c r="C8" s="226" t="s">
        <v>3</v>
      </c>
      <c r="D8" s="217"/>
      <c r="E8" s="226" t="s">
        <v>0</v>
      </c>
      <c r="F8" s="217"/>
      <c r="G8" s="217" t="s">
        <v>21</v>
      </c>
      <c r="H8" s="55"/>
      <c r="I8" s="225" t="s">
        <v>4</v>
      </c>
      <c r="J8" s="225"/>
      <c r="K8" s="7"/>
      <c r="L8" s="225" t="s">
        <v>5</v>
      </c>
      <c r="M8" s="225"/>
      <c r="O8" s="226" t="s">
        <v>3</v>
      </c>
      <c r="P8" s="218"/>
      <c r="Q8" s="217" t="s">
        <v>33</v>
      </c>
      <c r="R8" s="202"/>
      <c r="S8" s="226" t="s">
        <v>0</v>
      </c>
      <c r="T8" s="218"/>
      <c r="U8" s="217" t="s">
        <v>21</v>
      </c>
      <c r="V8" s="66"/>
      <c r="W8" s="220" t="s">
        <v>22</v>
      </c>
    </row>
    <row r="9" spans="1:33" ht="49.5" customHeight="1" thickBot="1">
      <c r="A9" s="224"/>
      <c r="B9" s="65"/>
      <c r="C9" s="227"/>
      <c r="D9" s="218"/>
      <c r="E9" s="227"/>
      <c r="F9" s="218"/>
      <c r="G9" s="219"/>
      <c r="H9" s="55"/>
      <c r="I9" s="203" t="s">
        <v>3</v>
      </c>
      <c r="J9" s="203" t="s">
        <v>0</v>
      </c>
      <c r="K9" s="7"/>
      <c r="L9" s="203" t="s">
        <v>3</v>
      </c>
      <c r="M9" s="203" t="s">
        <v>50</v>
      </c>
      <c r="O9" s="227"/>
      <c r="P9" s="218"/>
      <c r="Q9" s="219"/>
      <c r="R9" s="202"/>
      <c r="S9" s="227"/>
      <c r="T9" s="218"/>
      <c r="U9" s="219"/>
      <c r="V9" s="66"/>
      <c r="W9" s="221"/>
    </row>
    <row r="10" spans="1:33" ht="28.5" customHeight="1">
      <c r="A10" s="4" t="s">
        <v>108</v>
      </c>
      <c r="C10" s="311">
        <v>46976</v>
      </c>
      <c r="E10" s="4">
        <v>1517080349</v>
      </c>
      <c r="G10" s="311">
        <v>1561530722</v>
      </c>
      <c r="I10" s="4">
        <v>0</v>
      </c>
      <c r="J10" s="4">
        <v>0</v>
      </c>
      <c r="K10" s="67"/>
      <c r="L10" s="4">
        <v>1933</v>
      </c>
      <c r="M10" s="4">
        <v>64678160</v>
      </c>
      <c r="O10" s="4">
        <v>45043</v>
      </c>
      <c r="Q10" s="312">
        <v>35740</v>
      </c>
      <c r="S10" s="4">
        <v>1454654508</v>
      </c>
      <c r="U10" s="311">
        <v>1600258293</v>
      </c>
      <c r="V10" s="67"/>
      <c r="W10" s="8">
        <f>U10/درآمدها!$J$5</f>
        <v>9.2964442656928749E-3</v>
      </c>
      <c r="Z10" s="68"/>
      <c r="AC10" s="68"/>
      <c r="AD10" s="69"/>
      <c r="AE10" s="68"/>
      <c r="AF10" s="69"/>
      <c r="AG10" s="68"/>
    </row>
    <row r="11" spans="1:33" ht="28.5" customHeight="1">
      <c r="A11" s="4" t="s">
        <v>143</v>
      </c>
      <c r="C11" s="311">
        <v>0</v>
      </c>
      <c r="E11" s="4">
        <v>0</v>
      </c>
      <c r="G11" s="311">
        <v>0</v>
      </c>
      <c r="I11" s="4">
        <v>200766</v>
      </c>
      <c r="J11" s="4">
        <v>2689002505</v>
      </c>
      <c r="K11" s="67"/>
      <c r="L11" s="4">
        <v>7327</v>
      </c>
      <c r="M11" s="4">
        <v>97395723</v>
      </c>
      <c r="O11" s="4">
        <v>193439</v>
      </c>
      <c r="Q11" s="312">
        <v>13760</v>
      </c>
      <c r="S11" s="4">
        <v>2590866758</v>
      </c>
      <c r="U11" s="311">
        <v>2645883405</v>
      </c>
      <c r="V11" s="67"/>
      <c r="W11" s="8">
        <f>U11/درآمدها!$J$5</f>
        <v>1.537083589299305E-2</v>
      </c>
      <c r="Z11" s="68"/>
      <c r="AC11" s="68"/>
      <c r="AD11" s="69"/>
      <c r="AE11" s="68"/>
      <c r="AF11" s="69"/>
      <c r="AG11" s="68"/>
    </row>
    <row r="12" spans="1:33" ht="28.5" customHeight="1">
      <c r="A12" s="4" t="s">
        <v>109</v>
      </c>
      <c r="C12" s="311">
        <v>12837776</v>
      </c>
      <c r="E12" s="4">
        <v>69508184130</v>
      </c>
      <c r="G12" s="311">
        <v>83969954316</v>
      </c>
      <c r="I12" s="4">
        <v>12837776</v>
      </c>
      <c r="J12" s="4">
        <v>0</v>
      </c>
      <c r="K12" s="67"/>
      <c r="L12" s="4">
        <v>200000</v>
      </c>
      <c r="M12" s="4">
        <v>1083514507</v>
      </c>
      <c r="O12" s="4">
        <v>12637776</v>
      </c>
      <c r="Q12" s="312">
        <v>5180</v>
      </c>
      <c r="S12" s="4">
        <v>68425314572</v>
      </c>
      <c r="U12" s="311">
        <v>65074170789</v>
      </c>
      <c r="V12" s="67"/>
      <c r="W12" s="8">
        <f>U12/درآمدها!$J$5</f>
        <v>0.37803797332117173</v>
      </c>
      <c r="Z12" s="68"/>
      <c r="AC12" s="68"/>
      <c r="AD12" s="69"/>
      <c r="AE12" s="68"/>
      <c r="AF12" s="69"/>
      <c r="AG12" s="68"/>
    </row>
    <row r="13" spans="1:33" ht="28.5" customHeight="1">
      <c r="A13" s="4" t="s">
        <v>95</v>
      </c>
      <c r="C13" s="311">
        <v>240196</v>
      </c>
      <c r="E13" s="4">
        <v>2751459652</v>
      </c>
      <c r="G13" s="311">
        <v>2953545738</v>
      </c>
      <c r="I13" s="4">
        <v>0</v>
      </c>
      <c r="J13" s="4">
        <v>0</v>
      </c>
      <c r="K13" s="67"/>
      <c r="L13" s="4">
        <v>221660</v>
      </c>
      <c r="M13" s="4">
        <v>2711143319</v>
      </c>
      <c r="O13" s="4">
        <v>18536</v>
      </c>
      <c r="Q13" s="312">
        <v>12250</v>
      </c>
      <c r="S13" s="4">
        <v>212330997</v>
      </c>
      <c r="U13" s="311">
        <v>225714961</v>
      </c>
      <c r="V13" s="67"/>
      <c r="W13" s="8">
        <f>U13/درآمدها!$J$5</f>
        <v>1.31125491681457E-3</v>
      </c>
      <c r="Z13" s="68"/>
      <c r="AC13" s="68"/>
      <c r="AD13" s="69"/>
      <c r="AE13" s="68"/>
      <c r="AF13" s="69"/>
      <c r="AG13" s="68"/>
    </row>
    <row r="14" spans="1:33" ht="28.5" customHeight="1">
      <c r="A14" s="4" t="s">
        <v>126</v>
      </c>
      <c r="C14" s="311">
        <v>1764770</v>
      </c>
      <c r="E14" s="4">
        <v>6519723536</v>
      </c>
      <c r="G14" s="311">
        <v>5868031878</v>
      </c>
      <c r="I14" s="4">
        <v>0</v>
      </c>
      <c r="J14" s="4">
        <v>0</v>
      </c>
      <c r="K14" s="67"/>
      <c r="L14" s="4">
        <v>72758</v>
      </c>
      <c r="M14" s="4">
        <v>245207560</v>
      </c>
      <c r="O14" s="4">
        <v>1692012</v>
      </c>
      <c r="Q14" s="312">
        <v>3327</v>
      </c>
      <c r="S14" s="4">
        <v>6250928143</v>
      </c>
      <c r="U14" s="311">
        <v>5595829451</v>
      </c>
      <c r="V14" s="67"/>
      <c r="W14" s="8">
        <f>U14/درآمدها!$J$5</f>
        <v>3.2508075002079841E-2</v>
      </c>
      <c r="Z14" s="68"/>
      <c r="AC14" s="68"/>
      <c r="AD14" s="69"/>
      <c r="AE14" s="68"/>
      <c r="AF14" s="69"/>
      <c r="AG14" s="68"/>
    </row>
    <row r="15" spans="1:33" ht="28.5" customHeight="1">
      <c r="A15" s="4" t="s">
        <v>111</v>
      </c>
      <c r="C15" s="311">
        <v>43898</v>
      </c>
      <c r="E15" s="4">
        <v>1016454080</v>
      </c>
      <c r="G15" s="311">
        <v>1217903285</v>
      </c>
      <c r="I15" s="4">
        <v>0</v>
      </c>
      <c r="J15" s="4">
        <v>0</v>
      </c>
      <c r="K15" s="67"/>
      <c r="L15" s="4">
        <v>1753</v>
      </c>
      <c r="M15" s="4">
        <v>46620085</v>
      </c>
      <c r="O15" s="4">
        <v>42145</v>
      </c>
      <c r="Q15" s="312">
        <v>27770</v>
      </c>
      <c r="S15" s="4">
        <v>975863529</v>
      </c>
      <c r="U15" s="311">
        <v>1163402973</v>
      </c>
      <c r="V15" s="67"/>
      <c r="W15" s="8">
        <f>U15/درآمدها!$J$5</f>
        <v>6.7586032482044398E-3</v>
      </c>
      <c r="Z15" s="68"/>
      <c r="AC15" s="68"/>
      <c r="AD15" s="69"/>
      <c r="AE15" s="68"/>
      <c r="AF15" s="69"/>
      <c r="AG15" s="68"/>
    </row>
    <row r="16" spans="1:33" ht="28.5" customHeight="1">
      <c r="A16" s="4" t="s">
        <v>96</v>
      </c>
      <c r="C16" s="311">
        <v>255845</v>
      </c>
      <c r="E16" s="4">
        <v>5537828079</v>
      </c>
      <c r="G16" s="311">
        <v>6096115655</v>
      </c>
      <c r="I16" s="4">
        <v>0</v>
      </c>
      <c r="J16" s="4">
        <v>0</v>
      </c>
      <c r="K16" s="67"/>
      <c r="L16" s="4">
        <v>255845</v>
      </c>
      <c r="M16" s="4">
        <v>6077336695</v>
      </c>
      <c r="O16" s="4">
        <v>0</v>
      </c>
      <c r="Q16" s="312"/>
      <c r="S16" s="4">
        <v>0</v>
      </c>
      <c r="U16" s="311">
        <v>0</v>
      </c>
      <c r="V16" s="67"/>
      <c r="W16" s="8">
        <f>U16/درآمدها!$J$5</f>
        <v>0</v>
      </c>
      <c r="Z16" s="68"/>
      <c r="AC16" s="68"/>
      <c r="AD16" s="69"/>
      <c r="AE16" s="68"/>
      <c r="AF16" s="69"/>
      <c r="AG16" s="68"/>
    </row>
    <row r="17" spans="1:33" ht="28.5" customHeight="1">
      <c r="A17" s="4" t="s">
        <v>97</v>
      </c>
      <c r="C17" s="311">
        <v>150838</v>
      </c>
      <c r="E17" s="4">
        <v>3551771843</v>
      </c>
      <c r="G17" s="311">
        <v>2712423900</v>
      </c>
      <c r="I17" s="4">
        <v>0</v>
      </c>
      <c r="J17" s="4">
        <v>0</v>
      </c>
      <c r="K17" s="67"/>
      <c r="L17" s="4">
        <v>6714</v>
      </c>
      <c r="M17" s="4">
        <v>122894214</v>
      </c>
      <c r="O17" s="4">
        <v>144124</v>
      </c>
      <c r="Q17" s="312">
        <v>18190</v>
      </c>
      <c r="S17" s="4">
        <v>3393677754</v>
      </c>
      <c r="U17" s="311">
        <v>2606016952</v>
      </c>
      <c r="V17" s="67"/>
      <c r="W17" s="8">
        <f>U17/درآمدها!$J$5</f>
        <v>1.5139238119054587E-2</v>
      </c>
      <c r="Z17" s="68"/>
      <c r="AC17" s="68"/>
      <c r="AD17" s="69"/>
      <c r="AE17" s="68"/>
      <c r="AF17" s="69"/>
      <c r="AG17" s="68"/>
    </row>
    <row r="18" spans="1:33" ht="28.5" customHeight="1">
      <c r="A18" s="4" t="s">
        <v>98</v>
      </c>
      <c r="C18" s="311">
        <v>200611</v>
      </c>
      <c r="E18" s="4">
        <v>3860374297</v>
      </c>
      <c r="G18" s="311">
        <v>3597489259</v>
      </c>
      <c r="I18" s="4">
        <v>98948</v>
      </c>
      <c r="J18" s="4">
        <v>1792038912</v>
      </c>
      <c r="K18" s="67"/>
      <c r="L18" s="4">
        <v>29250</v>
      </c>
      <c r="M18" s="4">
        <v>519028248</v>
      </c>
      <c r="O18" s="4">
        <v>270309</v>
      </c>
      <c r="Q18" s="312">
        <v>18030</v>
      </c>
      <c r="S18" s="4">
        <v>5100491596</v>
      </c>
      <c r="U18" s="311">
        <v>4844672928</v>
      </c>
      <c r="V18" s="67"/>
      <c r="W18" s="8">
        <f>U18/درآمدها!$J$5</f>
        <v>2.8144351482303556E-2</v>
      </c>
      <c r="Z18" s="68"/>
      <c r="AC18" s="70"/>
      <c r="AD18" s="69"/>
      <c r="AE18" s="68"/>
      <c r="AF18" s="69"/>
      <c r="AG18" s="68"/>
    </row>
    <row r="19" spans="1:33" ht="28.5" customHeight="1">
      <c r="A19" s="4" t="s">
        <v>112</v>
      </c>
      <c r="C19" s="311">
        <v>105546</v>
      </c>
      <c r="E19" s="4">
        <v>1604896359</v>
      </c>
      <c r="G19" s="311">
        <v>1832917486</v>
      </c>
      <c r="I19" s="4">
        <v>0</v>
      </c>
      <c r="J19" s="4">
        <v>0</v>
      </c>
      <c r="K19" s="67"/>
      <c r="L19" s="4">
        <v>21194</v>
      </c>
      <c r="M19" s="4">
        <v>368912366</v>
      </c>
      <c r="O19" s="4">
        <v>84352</v>
      </c>
      <c r="Q19" s="312">
        <v>17680</v>
      </c>
      <c r="S19" s="4">
        <v>1282627647</v>
      </c>
      <c r="U19" s="311">
        <v>1482469871</v>
      </c>
      <c r="V19" s="67"/>
      <c r="W19" s="8">
        <f>U19/درآمدها!$J$5</f>
        <v>8.6121712923504946E-3</v>
      </c>
      <c r="Z19" s="68"/>
      <c r="AC19" s="68"/>
      <c r="AD19" s="69"/>
      <c r="AE19" s="68"/>
      <c r="AF19" s="69"/>
      <c r="AG19" s="68"/>
    </row>
    <row r="20" spans="1:33" ht="28.5" customHeight="1">
      <c r="A20" s="4" t="s">
        <v>124</v>
      </c>
      <c r="C20" s="311">
        <v>297640</v>
      </c>
      <c r="E20" s="4">
        <v>2439521117</v>
      </c>
      <c r="G20" s="311">
        <v>2381745789</v>
      </c>
      <c r="I20" s="4">
        <v>172317</v>
      </c>
      <c r="J20" s="4">
        <v>1410858141</v>
      </c>
      <c r="K20" s="67"/>
      <c r="L20" s="4">
        <v>20919</v>
      </c>
      <c r="M20" s="4">
        <v>168046888</v>
      </c>
      <c r="O20" s="4">
        <v>449038</v>
      </c>
      <c r="Q20" s="312">
        <v>8100</v>
      </c>
      <c r="S20" s="4">
        <v>3678988931</v>
      </c>
      <c r="U20" s="311">
        <v>3615566416</v>
      </c>
      <c r="V20" s="67"/>
      <c r="W20" s="8">
        <f>U20/درآمدها!$J$5</f>
        <v>2.1004054046951871E-2</v>
      </c>
      <c r="Z20" s="68"/>
      <c r="AC20" s="68"/>
      <c r="AD20" s="69"/>
      <c r="AE20" s="68"/>
      <c r="AF20" s="69"/>
      <c r="AG20" s="68"/>
    </row>
    <row r="21" spans="1:33" ht="28.5" customHeight="1">
      <c r="A21" s="4" t="s">
        <v>114</v>
      </c>
      <c r="C21" s="311">
        <v>39510</v>
      </c>
      <c r="E21" s="4">
        <v>1007402516</v>
      </c>
      <c r="G21" s="311">
        <v>1046283752</v>
      </c>
      <c r="I21" s="4">
        <v>0</v>
      </c>
      <c r="J21" s="4">
        <v>0</v>
      </c>
      <c r="K21" s="67"/>
      <c r="L21" s="4">
        <v>1758</v>
      </c>
      <c r="M21" s="4">
        <v>47537654</v>
      </c>
      <c r="O21" s="4">
        <v>37752</v>
      </c>
      <c r="Q21" s="312">
        <v>27440</v>
      </c>
      <c r="S21" s="4">
        <v>962578076</v>
      </c>
      <c r="U21" s="311">
        <v>1029751190</v>
      </c>
      <c r="V21" s="67"/>
      <c r="W21" s="8">
        <f>U21/درآمدها!$J$5</f>
        <v>5.9821746197105405E-3</v>
      </c>
      <c r="Z21" s="68"/>
      <c r="AC21" s="68"/>
      <c r="AD21" s="69"/>
      <c r="AE21" s="68"/>
      <c r="AF21" s="69"/>
      <c r="AG21" s="68"/>
    </row>
    <row r="22" spans="1:33" ht="28.5" customHeight="1">
      <c r="A22" s="4" t="s">
        <v>99</v>
      </c>
      <c r="C22" s="311">
        <v>151421</v>
      </c>
      <c r="E22" s="4">
        <v>8755304515</v>
      </c>
      <c r="G22" s="311">
        <v>6452794335</v>
      </c>
      <c r="I22" s="4">
        <v>0</v>
      </c>
      <c r="J22" s="4">
        <v>0</v>
      </c>
      <c r="K22" s="67"/>
      <c r="L22" s="4">
        <v>16573</v>
      </c>
      <c r="M22" s="4">
        <v>700190585</v>
      </c>
      <c r="O22" s="4">
        <v>134848</v>
      </c>
      <c r="Q22" s="312">
        <v>44910</v>
      </c>
      <c r="S22" s="4">
        <v>7797038081</v>
      </c>
      <c r="U22" s="311">
        <v>6019990343</v>
      </c>
      <c r="V22" s="67"/>
      <c r="W22" s="8">
        <f>U22/درآمدها!$J$5</f>
        <v>3.497216977316351E-2</v>
      </c>
      <c r="Z22" s="68"/>
      <c r="AC22" s="68"/>
      <c r="AD22" s="69"/>
      <c r="AE22" s="68"/>
      <c r="AF22" s="69"/>
      <c r="AG22" s="68"/>
    </row>
    <row r="23" spans="1:33" ht="28.5" customHeight="1">
      <c r="A23" s="4" t="s">
        <v>100</v>
      </c>
      <c r="C23" s="311">
        <v>330718</v>
      </c>
      <c r="E23" s="4">
        <v>3935774035</v>
      </c>
      <c r="G23" s="311">
        <v>2896289512</v>
      </c>
      <c r="I23" s="4">
        <v>0</v>
      </c>
      <c r="J23" s="4">
        <v>0</v>
      </c>
      <c r="K23" s="67"/>
      <c r="L23" s="4">
        <v>13008</v>
      </c>
      <c r="M23" s="4">
        <v>103735834</v>
      </c>
      <c r="O23" s="4">
        <v>317710</v>
      </c>
      <c r="Q23" s="312">
        <v>8080</v>
      </c>
      <c r="S23" s="4">
        <v>3780969795</v>
      </c>
      <c r="U23" s="311">
        <v>2551822578</v>
      </c>
      <c r="V23" s="67"/>
      <c r="W23" s="8">
        <f>U23/درآمدها!$J$5</f>
        <v>1.4824404582738013E-2</v>
      </c>
      <c r="Z23" s="68"/>
      <c r="AC23" s="68"/>
      <c r="AD23" s="69"/>
      <c r="AE23" s="68"/>
      <c r="AF23" s="69"/>
      <c r="AG23" s="68"/>
    </row>
    <row r="24" spans="1:33" ht="28.5" customHeight="1">
      <c r="A24" s="4" t="s">
        <v>101</v>
      </c>
      <c r="C24" s="311">
        <v>383996</v>
      </c>
      <c r="E24" s="4">
        <v>8364590866</v>
      </c>
      <c r="G24" s="311">
        <v>7092194542</v>
      </c>
      <c r="I24" s="4">
        <v>0</v>
      </c>
      <c r="J24" s="4">
        <v>0</v>
      </c>
      <c r="K24" s="67"/>
      <c r="L24" s="4">
        <v>36459</v>
      </c>
      <c r="M24" s="4">
        <v>696675589</v>
      </c>
      <c r="O24" s="4">
        <v>347537</v>
      </c>
      <c r="Q24" s="312">
        <v>19250</v>
      </c>
      <c r="S24" s="4">
        <v>7570403900</v>
      </c>
      <c r="U24" s="311">
        <v>6650281234</v>
      </c>
      <c r="V24" s="67"/>
      <c r="W24" s="8">
        <f>U24/درآمدها!$J$5</f>
        <v>3.8633743760929373E-2</v>
      </c>
      <c r="Z24" s="68"/>
      <c r="AC24" s="68"/>
      <c r="AD24" s="69"/>
      <c r="AE24" s="68"/>
      <c r="AF24" s="69"/>
      <c r="AG24" s="68"/>
    </row>
    <row r="25" spans="1:33" ht="28.5" customHeight="1">
      <c r="A25" s="4" t="s">
        <v>102</v>
      </c>
      <c r="C25" s="311">
        <v>1815498</v>
      </c>
      <c r="E25" s="4">
        <v>6360559196</v>
      </c>
      <c r="G25" s="311">
        <v>6709858939</v>
      </c>
      <c r="I25" s="4">
        <v>942857</v>
      </c>
      <c r="J25" s="4">
        <v>0</v>
      </c>
      <c r="K25" s="67"/>
      <c r="L25" s="4">
        <v>226961</v>
      </c>
      <c r="M25" s="4">
        <v>826127185</v>
      </c>
      <c r="O25" s="4">
        <v>1588537</v>
      </c>
      <c r="Q25" s="312">
        <v>3643</v>
      </c>
      <c r="S25" s="4">
        <v>5565406088</v>
      </c>
      <c r="U25" s="311">
        <v>5752607404</v>
      </c>
      <c r="V25" s="67"/>
      <c r="W25" s="8">
        <f>U25/درآمدها!$J$5</f>
        <v>3.34188514114441E-2</v>
      </c>
      <c r="Z25" s="68"/>
      <c r="AC25" s="68"/>
      <c r="AD25" s="69"/>
      <c r="AE25" s="68"/>
      <c r="AF25" s="69"/>
      <c r="AG25" s="68"/>
    </row>
    <row r="26" spans="1:33" ht="28.5" customHeight="1">
      <c r="A26" s="4" t="s">
        <v>125</v>
      </c>
      <c r="C26" s="311">
        <v>661436</v>
      </c>
      <c r="E26" s="4">
        <v>7210112069</v>
      </c>
      <c r="G26" s="311">
        <v>5120355991</v>
      </c>
      <c r="I26" s="4">
        <v>0</v>
      </c>
      <c r="J26" s="4">
        <v>0</v>
      </c>
      <c r="K26" s="67"/>
      <c r="L26" s="4">
        <v>29443</v>
      </c>
      <c r="M26" s="4">
        <v>194822669</v>
      </c>
      <c r="O26" s="4">
        <v>631993</v>
      </c>
      <c r="Q26" s="312">
        <v>6770</v>
      </c>
      <c r="S26" s="4">
        <v>6889162907</v>
      </c>
      <c r="U26" s="311">
        <v>4253134988</v>
      </c>
      <c r="V26" s="67"/>
      <c r="W26" s="8">
        <f>U26/درآمدها!$J$5</f>
        <v>2.4707906556938764E-2</v>
      </c>
      <c r="Z26" s="68"/>
      <c r="AC26" s="68"/>
      <c r="AD26" s="69"/>
      <c r="AE26" s="68"/>
      <c r="AF26" s="69"/>
      <c r="AG26" s="68"/>
    </row>
    <row r="27" spans="1:33" ht="28.5" customHeight="1" thickBot="1">
      <c r="A27" s="4" t="s">
        <v>2</v>
      </c>
      <c r="C27" s="311"/>
      <c r="E27" s="313">
        <f>SUM(E10:E26)</f>
        <v>133941036639</v>
      </c>
      <c r="G27" s="314">
        <f>SUM(G10:G26)</f>
        <v>141509435099</v>
      </c>
      <c r="J27" s="313">
        <f>SUM(J10:J26)</f>
        <v>5891899558</v>
      </c>
      <c r="K27" s="67"/>
      <c r="M27" s="313">
        <f>SUM(M10:M26)</f>
        <v>14073867281</v>
      </c>
      <c r="S27" s="313">
        <f>SUM(S10:S26)</f>
        <v>125931303282</v>
      </c>
      <c r="U27" s="313">
        <f>SUM(U10:U26)</f>
        <v>115111573776</v>
      </c>
      <c r="V27" s="67"/>
      <c r="W27" s="60">
        <f>SUM(W10:W26)</f>
        <v>0.66872225229254134</v>
      </c>
      <c r="Z27" s="68"/>
      <c r="AC27" s="68"/>
      <c r="AD27" s="69"/>
      <c r="AE27" s="68"/>
      <c r="AF27" s="69"/>
      <c r="AG27" s="68"/>
    </row>
    <row r="28" spans="1:33" ht="31.5" thickTop="1">
      <c r="A28" s="4"/>
    </row>
    <row r="29" spans="1:33">
      <c r="C29" s="196"/>
      <c r="D29" s="35"/>
      <c r="E29" s="69"/>
      <c r="F29" s="35"/>
      <c r="G29" s="196"/>
      <c r="H29" s="35"/>
      <c r="I29" s="196"/>
      <c r="J29" s="196"/>
      <c r="K29" s="35"/>
      <c r="L29" s="35"/>
      <c r="M29" s="35"/>
      <c r="N29" s="35"/>
      <c r="O29" s="35"/>
      <c r="P29" s="35"/>
      <c r="Q29" s="35"/>
      <c r="R29" s="35"/>
      <c r="S29" s="69"/>
      <c r="T29" s="35"/>
      <c r="U29" s="196"/>
      <c r="V29" s="135"/>
      <c r="W29" s="197"/>
      <c r="X29" s="35"/>
    </row>
    <row r="30" spans="1:33">
      <c r="B30" s="4"/>
      <c r="C30" s="35"/>
      <c r="D30" s="35"/>
      <c r="E30" s="69"/>
      <c r="F30" s="35"/>
      <c r="G30" s="35"/>
      <c r="H30" s="35"/>
      <c r="J30" s="35"/>
      <c r="K30" s="35"/>
      <c r="M30" s="35"/>
      <c r="N30" s="35"/>
      <c r="O30" s="35"/>
      <c r="P30" s="35"/>
      <c r="Q30" s="35"/>
      <c r="R30" s="35"/>
      <c r="S30" s="69"/>
      <c r="T30" s="35"/>
      <c r="U30" s="35"/>
      <c r="V30" s="135"/>
      <c r="W30" s="197"/>
      <c r="X30" s="35"/>
    </row>
    <row r="31" spans="1:33">
      <c r="B31" s="4"/>
      <c r="C31" s="35"/>
      <c r="D31" s="35"/>
      <c r="E31" s="35"/>
      <c r="F31" s="35"/>
      <c r="G31" s="35"/>
      <c r="H31" s="35"/>
      <c r="I31" s="198"/>
      <c r="J31" s="35"/>
      <c r="K31" s="35"/>
      <c r="L31" s="35"/>
      <c r="M31" s="35"/>
      <c r="N31" s="35"/>
      <c r="O31" s="35"/>
      <c r="P31" s="35"/>
      <c r="Q31" s="35"/>
      <c r="R31" s="35"/>
      <c r="S31" s="196"/>
      <c r="T31" s="35"/>
      <c r="U31" s="35"/>
      <c r="V31" s="135"/>
      <c r="W31" s="197"/>
      <c r="X31" s="35"/>
    </row>
    <row r="32" spans="1:33">
      <c r="B32" s="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15"/>
      <c r="T32" s="35"/>
      <c r="U32" s="199"/>
      <c r="V32" s="135"/>
      <c r="W32" s="197"/>
      <c r="X32" s="35"/>
    </row>
    <row r="33" spans="2:24">
      <c r="B33" s="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135"/>
      <c r="W33" s="197"/>
      <c r="X33" s="35"/>
    </row>
    <row r="34" spans="2:24">
      <c r="B34" s="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135"/>
      <c r="W34" s="197"/>
      <c r="X34" s="35"/>
    </row>
    <row r="35" spans="2:24">
      <c r="B35" s="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135"/>
      <c r="W35" s="197"/>
      <c r="X35" s="35"/>
    </row>
    <row r="36" spans="2:24">
      <c r="B36" s="4"/>
    </row>
    <row r="37" spans="2:24">
      <c r="B37" s="4"/>
    </row>
    <row r="38" spans="2:24">
      <c r="B38" s="4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5"/>
  <sheetViews>
    <sheetView rightToLeft="1" view="pageBreakPreview" zoomScale="60" zoomScaleNormal="100" workbookViewId="0">
      <selection activeCell="E18" sqref="E18"/>
    </sheetView>
  </sheetViews>
  <sheetFormatPr defaultColWidth="9.140625" defaultRowHeight="15.75"/>
  <cols>
    <col min="1" max="1" width="45.7109375" style="170" customWidth="1"/>
    <col min="2" max="2" width="0.5703125" style="170" customWidth="1"/>
    <col min="3" max="3" width="12.5703125" style="170" customWidth="1"/>
    <col min="4" max="4" width="0.5703125" style="170" customWidth="1"/>
    <col min="5" max="5" width="29.140625" style="170" customWidth="1"/>
    <col min="6" max="6" width="0.5703125" style="170" customWidth="1"/>
    <col min="7" max="7" width="15.42578125" style="170" bestFit="1" customWidth="1"/>
    <col min="8" max="8" width="0.5703125" style="170" customWidth="1"/>
    <col min="9" max="9" width="16.5703125" style="170" bestFit="1" customWidth="1"/>
    <col min="10" max="10" width="0.42578125" style="170" customWidth="1"/>
    <col min="11" max="11" width="20.42578125" style="170" bestFit="1" customWidth="1"/>
    <col min="12" max="12" width="0.7109375" style="170" customWidth="1"/>
    <col min="13" max="13" width="13.7109375" style="170" bestFit="1" customWidth="1"/>
    <col min="14" max="14" width="1.140625" style="170" customWidth="1"/>
    <col min="15" max="15" width="22.85546875" style="170" bestFit="1" customWidth="1"/>
    <col min="16" max="16" width="0.5703125" style="170" customWidth="1"/>
    <col min="17" max="17" width="25.42578125" style="170" bestFit="1" customWidth="1"/>
    <col min="18" max="18" width="0.5703125" style="170" customWidth="1"/>
    <col min="19" max="19" width="13.7109375" style="170" bestFit="1" customWidth="1"/>
    <col min="20" max="20" width="25.42578125" style="170" bestFit="1" customWidth="1"/>
    <col min="21" max="21" width="0.5703125" style="170" customWidth="1"/>
    <col min="22" max="22" width="12.140625" style="170" bestFit="1" customWidth="1"/>
    <col min="23" max="23" width="23.7109375" style="170" bestFit="1" customWidth="1"/>
    <col min="24" max="24" width="0.5703125" style="170" customWidth="1"/>
    <col min="25" max="25" width="14.7109375" style="170" bestFit="1" customWidth="1"/>
    <col min="26" max="26" width="0.42578125" style="170" customWidth="1"/>
    <col min="27" max="27" width="23" style="170" bestFit="1" customWidth="1"/>
    <col min="28" max="28" width="0.7109375" style="170" customWidth="1"/>
    <col min="29" max="29" width="25.42578125" style="170" bestFit="1" customWidth="1"/>
    <col min="30" max="30" width="0.7109375" style="170" customWidth="1"/>
    <col min="31" max="31" width="25.42578125" style="170" bestFit="1" customWidth="1"/>
    <col min="32" max="32" width="0.7109375" style="170" customWidth="1"/>
    <col min="33" max="33" width="16.5703125" style="170" customWidth="1"/>
    <col min="34" max="34" width="9.140625" style="170"/>
    <col min="35" max="35" width="25.42578125" style="170" bestFit="1" customWidth="1"/>
    <col min="36" max="16384" width="9.140625" style="170"/>
  </cols>
  <sheetData>
    <row r="1" spans="1:35" s="83" customFormat="1" ht="24.75">
      <c r="A1" s="233" t="s">
        <v>94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35" s="83" customFormat="1" ht="24.75">
      <c r="A2" s="233" t="s">
        <v>51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</row>
    <row r="3" spans="1:35" s="83" customFormat="1" ht="24.75">
      <c r="A3" s="233" t="str">
        <f>' سهام'!A3:W3</f>
        <v>برای ماه منتهی به 1402/10/30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</row>
    <row r="4" spans="1:35" ht="24.75">
      <c r="A4" s="239" t="s">
        <v>68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</row>
    <row r="5" spans="1:35" ht="24.75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</row>
    <row r="6" spans="1:35" ht="27.75" customHeight="1" thickBot="1">
      <c r="A6" s="232" t="s">
        <v>69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 t="str" cm="1">
        <f t="array" ref="M6:Q6">' سهام'!C7:G7</f>
        <v>1402/09/30</v>
      </c>
      <c r="N6" s="232">
        <v>0</v>
      </c>
      <c r="O6" s="232">
        <v>0</v>
      </c>
      <c r="P6" s="232">
        <v>0</v>
      </c>
      <c r="Q6" s="232">
        <v>0</v>
      </c>
      <c r="R6" s="206"/>
      <c r="S6" s="240" t="s">
        <v>7</v>
      </c>
      <c r="T6" s="240"/>
      <c r="U6" s="240"/>
      <c r="V6" s="240"/>
      <c r="W6" s="240"/>
      <c r="X6" s="204"/>
      <c r="Y6" s="232" t="str" cm="1">
        <f t="array" ref="Y6:AG6">' سهام'!O7:W7</f>
        <v>1402/10/30</v>
      </c>
      <c r="Z6" s="232">
        <v>0</v>
      </c>
      <c r="AA6" s="232">
        <v>0</v>
      </c>
      <c r="AB6" s="232">
        <v>0</v>
      </c>
      <c r="AC6" s="232">
        <v>0</v>
      </c>
      <c r="AD6" s="232">
        <v>0</v>
      </c>
      <c r="AE6" s="232">
        <v>0</v>
      </c>
      <c r="AF6" s="232">
        <v>0</v>
      </c>
      <c r="AG6" s="232">
        <v>0</v>
      </c>
    </row>
    <row r="7" spans="1:35" ht="26.25" customHeight="1">
      <c r="A7" s="230" t="s">
        <v>70</v>
      </c>
      <c r="B7" s="205"/>
      <c r="C7" s="236" t="s">
        <v>71</v>
      </c>
      <c r="D7" s="205"/>
      <c r="E7" s="238" t="s">
        <v>76</v>
      </c>
      <c r="F7" s="205"/>
      <c r="G7" s="231" t="s">
        <v>72</v>
      </c>
      <c r="H7" s="205"/>
      <c r="I7" s="236" t="s">
        <v>23</v>
      </c>
      <c r="J7" s="205"/>
      <c r="K7" s="238" t="s">
        <v>73</v>
      </c>
      <c r="L7" s="171"/>
      <c r="M7" s="234" t="s">
        <v>3</v>
      </c>
      <c r="N7" s="231"/>
      <c r="O7" s="231" t="s">
        <v>0</v>
      </c>
      <c r="P7" s="231"/>
      <c r="Q7" s="231" t="s">
        <v>21</v>
      </c>
      <c r="R7" s="205"/>
      <c r="S7" s="233" t="s">
        <v>4</v>
      </c>
      <c r="T7" s="233"/>
      <c r="U7" s="204"/>
      <c r="V7" s="233" t="s">
        <v>5</v>
      </c>
      <c r="W7" s="233"/>
      <c r="X7" s="204"/>
      <c r="Y7" s="234" t="s">
        <v>3</v>
      </c>
      <c r="Z7" s="230"/>
      <c r="AA7" s="231" t="s">
        <v>74</v>
      </c>
      <c r="AB7" s="205"/>
      <c r="AC7" s="231" t="s">
        <v>0</v>
      </c>
      <c r="AD7" s="230"/>
      <c r="AE7" s="231" t="s">
        <v>21</v>
      </c>
      <c r="AF7" s="172"/>
      <c r="AG7" s="231" t="s">
        <v>22</v>
      </c>
    </row>
    <row r="8" spans="1:35" s="175" customFormat="1" ht="55.5" customHeight="1" thickBot="1">
      <c r="A8" s="232"/>
      <c r="B8" s="205"/>
      <c r="C8" s="237"/>
      <c r="D8" s="205"/>
      <c r="E8" s="237"/>
      <c r="F8" s="205"/>
      <c r="G8" s="232"/>
      <c r="H8" s="205"/>
      <c r="I8" s="237"/>
      <c r="J8" s="205"/>
      <c r="K8" s="237"/>
      <c r="L8" s="206"/>
      <c r="M8" s="235"/>
      <c r="N8" s="230"/>
      <c r="O8" s="232"/>
      <c r="P8" s="230"/>
      <c r="Q8" s="232"/>
      <c r="R8" s="205"/>
      <c r="S8" s="173" t="s">
        <v>3</v>
      </c>
      <c r="T8" s="173" t="s">
        <v>0</v>
      </c>
      <c r="U8" s="174"/>
      <c r="V8" s="173" t="s">
        <v>3</v>
      </c>
      <c r="W8" s="173" t="s">
        <v>50</v>
      </c>
      <c r="X8" s="174"/>
      <c r="Y8" s="235"/>
      <c r="Z8" s="230"/>
      <c r="AA8" s="232"/>
      <c r="AB8" s="205"/>
      <c r="AC8" s="232"/>
      <c r="AD8" s="230"/>
      <c r="AE8" s="232"/>
      <c r="AF8" s="172"/>
      <c r="AG8" s="232"/>
    </row>
    <row r="9" spans="1:35" s="175" customFormat="1" ht="55.5" customHeight="1">
      <c r="A9" s="176" t="s">
        <v>118</v>
      </c>
      <c r="B9" s="205"/>
      <c r="C9" s="177" t="s">
        <v>119</v>
      </c>
      <c r="D9" s="62"/>
      <c r="E9" s="177" t="s">
        <v>119</v>
      </c>
      <c r="F9" s="62"/>
      <c r="G9" s="177" t="s">
        <v>120</v>
      </c>
      <c r="H9" s="62"/>
      <c r="I9" s="177" t="s">
        <v>121</v>
      </c>
      <c r="J9" s="177"/>
      <c r="K9" s="178" t="s">
        <v>122</v>
      </c>
      <c r="L9" s="206"/>
      <c r="M9" s="4">
        <v>5000</v>
      </c>
      <c r="N9" s="67"/>
      <c r="O9" s="4">
        <v>3470622012</v>
      </c>
      <c r="P9" s="4"/>
      <c r="Q9" s="4">
        <v>3503614857</v>
      </c>
      <c r="R9" s="4"/>
      <c r="S9" s="4">
        <v>0</v>
      </c>
      <c r="T9" s="4">
        <v>0</v>
      </c>
      <c r="U9" s="4"/>
      <c r="V9" s="4">
        <v>2000</v>
      </c>
      <c r="W9" s="4">
        <v>1407259902</v>
      </c>
      <c r="X9" s="4"/>
      <c r="Y9" s="4">
        <v>3000</v>
      </c>
      <c r="Z9" s="4"/>
      <c r="AA9" s="308">
        <v>696840</v>
      </c>
      <c r="AB9" s="4"/>
      <c r="AC9" s="4">
        <v>2082373207</v>
      </c>
      <c r="AD9" s="4"/>
      <c r="AE9" s="4">
        <v>2090141094</v>
      </c>
      <c r="AG9" s="8">
        <f>AE9/درآمدها!$J$5</f>
        <v>1.2142339941496764E-2</v>
      </c>
      <c r="AI9" s="4"/>
    </row>
    <row r="10" spans="1:35" s="175" customFormat="1" ht="55.5" customHeight="1">
      <c r="A10" s="176" t="s">
        <v>127</v>
      </c>
      <c r="B10" s="205"/>
      <c r="C10" s="177" t="s">
        <v>119</v>
      </c>
      <c r="D10" s="62"/>
      <c r="E10" s="177" t="s">
        <v>119</v>
      </c>
      <c r="F10" s="62"/>
      <c r="G10" s="177" t="s">
        <v>130</v>
      </c>
      <c r="H10" s="62"/>
      <c r="I10" s="177" t="s">
        <v>133</v>
      </c>
      <c r="J10" s="177"/>
      <c r="K10" s="178" t="s">
        <v>122</v>
      </c>
      <c r="L10" s="206"/>
      <c r="M10" s="4">
        <v>29600</v>
      </c>
      <c r="N10" s="67"/>
      <c r="O10" s="4">
        <v>19953778963</v>
      </c>
      <c r="P10" s="4"/>
      <c r="Q10" s="4">
        <v>19983777285</v>
      </c>
      <c r="R10" s="4"/>
      <c r="S10" s="4">
        <v>0</v>
      </c>
      <c r="T10" s="4">
        <v>0</v>
      </c>
      <c r="U10" s="4"/>
      <c r="V10" s="4">
        <v>1480</v>
      </c>
      <c r="W10" s="4">
        <v>1003492889</v>
      </c>
      <c r="X10" s="4"/>
      <c r="Y10" s="4">
        <v>28120</v>
      </c>
      <c r="Z10" s="4"/>
      <c r="AA10" s="308">
        <v>670650</v>
      </c>
      <c r="AB10" s="4"/>
      <c r="AC10" s="4">
        <v>18956090015</v>
      </c>
      <c r="AD10" s="4"/>
      <c r="AE10" s="4">
        <v>18855259867</v>
      </c>
      <c r="AG10" s="8">
        <f>AE10/درآمدها!$J$5</f>
        <v>0.10953661245530015</v>
      </c>
      <c r="AI10" s="4"/>
    </row>
    <row r="11" spans="1:35" s="175" customFormat="1" ht="55.5" customHeight="1">
      <c r="A11" s="176" t="s">
        <v>128</v>
      </c>
      <c r="B11" s="205"/>
      <c r="C11" s="177" t="s">
        <v>119</v>
      </c>
      <c r="D11" s="62"/>
      <c r="E11" s="177" t="s">
        <v>119</v>
      </c>
      <c r="F11" s="62"/>
      <c r="G11" s="177" t="s">
        <v>131</v>
      </c>
      <c r="H11" s="62"/>
      <c r="I11" s="177" t="s">
        <v>134</v>
      </c>
      <c r="J11" s="177"/>
      <c r="K11" s="178" t="s">
        <v>122</v>
      </c>
      <c r="L11" s="206"/>
      <c r="M11" s="4">
        <v>29100</v>
      </c>
      <c r="N11" s="67"/>
      <c r="O11" s="4">
        <v>18932887958</v>
      </c>
      <c r="P11" s="4"/>
      <c r="Q11" s="4">
        <v>18930774177</v>
      </c>
      <c r="R11" s="4"/>
      <c r="S11" s="4">
        <v>0</v>
      </c>
      <c r="T11" s="4">
        <v>0</v>
      </c>
      <c r="U11" s="4"/>
      <c r="V11" s="4">
        <v>0</v>
      </c>
      <c r="W11" s="4">
        <v>0</v>
      </c>
      <c r="X11" s="4"/>
      <c r="Y11" s="4">
        <v>29100</v>
      </c>
      <c r="Z11" s="4"/>
      <c r="AA11" s="308">
        <v>645090</v>
      </c>
      <c r="AB11" s="4"/>
      <c r="AC11" s="4">
        <v>18932887958</v>
      </c>
      <c r="AD11" s="4"/>
      <c r="AE11" s="4">
        <v>18768716556</v>
      </c>
      <c r="AG11" s="8">
        <f>AE11/درآمدها!$J$5</f>
        <v>0.10903385295028815</v>
      </c>
      <c r="AI11" s="4"/>
    </row>
    <row r="12" spans="1:35" s="175" customFormat="1" ht="55.5" customHeight="1" thickBot="1">
      <c r="A12" s="176" t="s">
        <v>129</v>
      </c>
      <c r="B12" s="205"/>
      <c r="C12" s="177" t="s">
        <v>119</v>
      </c>
      <c r="D12" s="62"/>
      <c r="E12" s="177" t="s">
        <v>119</v>
      </c>
      <c r="F12" s="62"/>
      <c r="G12" s="177" t="s">
        <v>132</v>
      </c>
      <c r="H12" s="62"/>
      <c r="I12" s="177" t="s">
        <v>135</v>
      </c>
      <c r="J12" s="177"/>
      <c r="K12" s="178" t="s">
        <v>122</v>
      </c>
      <c r="L12" s="206"/>
      <c r="M12" s="4">
        <v>27300</v>
      </c>
      <c r="N12" s="67"/>
      <c r="O12" s="4">
        <v>14976399978</v>
      </c>
      <c r="P12" s="4"/>
      <c r="Q12" s="4">
        <v>14998085105</v>
      </c>
      <c r="R12" s="4"/>
      <c r="S12" s="4">
        <v>0</v>
      </c>
      <c r="T12" s="4">
        <v>0</v>
      </c>
      <c r="U12" s="4"/>
      <c r="V12" s="4">
        <v>0</v>
      </c>
      <c r="W12" s="4">
        <v>0</v>
      </c>
      <c r="X12" s="4"/>
      <c r="Y12" s="4">
        <v>27300</v>
      </c>
      <c r="Z12" s="4"/>
      <c r="AA12" s="308">
        <v>537190</v>
      </c>
      <c r="AB12" s="4"/>
      <c r="AC12" s="4">
        <v>14976399978</v>
      </c>
      <c r="AD12" s="4"/>
      <c r="AE12" s="4">
        <v>14662628918</v>
      </c>
      <c r="AG12" s="8">
        <f>AE12/درآمدها!$J$5</f>
        <v>8.5180194422978459E-2</v>
      </c>
      <c r="AI12" s="4"/>
    </row>
    <row r="13" spans="1:35" s="180" customFormat="1" ht="32.25" thickBot="1">
      <c r="A13" s="63" t="s">
        <v>2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4"/>
      <c r="N13" s="170"/>
      <c r="O13" s="309">
        <f>SUM(O9:O12)</f>
        <v>57333688911</v>
      </c>
      <c r="P13" s="170"/>
      <c r="Q13" s="309">
        <f>SUM(Q9:Q12)</f>
        <v>57416251424</v>
      </c>
      <c r="R13" s="170"/>
      <c r="S13" s="310">
        <f>SUM(S9:S12)</f>
        <v>0</v>
      </c>
      <c r="T13" s="309">
        <f>SUM(T9:T12)</f>
        <v>0</v>
      </c>
      <c r="U13" s="170"/>
      <c r="V13" s="310"/>
      <c r="W13" s="309">
        <f>SUM(W9:W12)</f>
        <v>2410752791</v>
      </c>
      <c r="X13" s="170"/>
      <c r="Y13" s="310"/>
      <c r="Z13" s="170"/>
      <c r="AA13" s="170"/>
      <c r="AB13" s="170"/>
      <c r="AC13" s="309">
        <f>SUM(AC9:AC12)</f>
        <v>54947751158</v>
      </c>
      <c r="AD13" s="170"/>
      <c r="AE13" s="309">
        <f>SUM(AE9:AE12)</f>
        <v>54376746435</v>
      </c>
      <c r="AF13" s="170"/>
      <c r="AG13" s="179">
        <f>SUM(AG9:AG12)</f>
        <v>0.31589299977006352</v>
      </c>
    </row>
    <row r="14" spans="1:35" s="181" customFormat="1" ht="32.25" thickTop="1">
      <c r="M14" s="170"/>
      <c r="N14" s="170"/>
      <c r="P14" s="170"/>
      <c r="R14" s="170"/>
      <c r="S14" s="170"/>
      <c r="U14" s="170"/>
      <c r="V14" s="170"/>
      <c r="X14" s="170"/>
      <c r="Y14" s="170"/>
      <c r="Z14" s="170"/>
      <c r="AA14" s="170"/>
      <c r="AB14" s="170"/>
      <c r="AD14" s="170"/>
      <c r="AF14" s="170"/>
    </row>
    <row r="15" spans="1:35" s="4" customFormat="1" ht="30.75">
      <c r="O15" s="69"/>
      <c r="Q15" s="69"/>
      <c r="W15" s="69"/>
      <c r="AC15" s="69"/>
      <c r="AE15" s="69"/>
    </row>
    <row r="16" spans="1:35" s="4" customFormat="1" ht="30.75">
      <c r="W16" s="69"/>
      <c r="AG16" s="8"/>
    </row>
    <row r="17" spans="29:33" s="4" customFormat="1" ht="30.75">
      <c r="AC17" s="182"/>
      <c r="AG17" s="8"/>
    </row>
    <row r="18" spans="29:33" s="4" customFormat="1" ht="30.75">
      <c r="AC18" s="8"/>
      <c r="AG18" s="8"/>
    </row>
    <row r="19" spans="29:33" s="4" customFormat="1" ht="30.75">
      <c r="AC19" s="112"/>
      <c r="AG19" s="10"/>
    </row>
    <row r="20" spans="29:33" s="4" customFormat="1" ht="30.75"/>
    <row r="21" spans="29:33" s="4" customFormat="1" ht="30.75"/>
    <row r="22" spans="29:33" s="4" customFormat="1" ht="30.75"/>
    <row r="23" spans="29:33" s="4" customFormat="1" ht="30.75"/>
    <row r="24" spans="29:33" s="4" customFormat="1" ht="30.75"/>
    <row r="25" spans="29:33" s="4" customFormat="1" ht="30.75"/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3"/>
  <sheetViews>
    <sheetView rightToLeft="1" view="pageBreakPreview" zoomScaleNormal="100" zoomScaleSheetLayoutView="100" workbookViewId="0">
      <selection activeCell="C33" sqref="C33"/>
    </sheetView>
  </sheetViews>
  <sheetFormatPr defaultColWidth="9.140625" defaultRowHeight="15"/>
  <cols>
    <col min="1" max="1" width="39.140625" style="71" bestFit="1" customWidth="1"/>
    <col min="2" max="2" width="0.7109375" style="71" customWidth="1"/>
    <col min="3" max="3" width="24.28515625" style="71" customWidth="1"/>
    <col min="4" max="4" width="0.7109375" style="71" customWidth="1"/>
    <col min="5" max="5" width="9.5703125" style="71" bestFit="1" customWidth="1"/>
    <col min="6" max="6" width="0.7109375" style="71" customWidth="1"/>
    <col min="7" max="7" width="15.85546875" style="71" bestFit="1" customWidth="1"/>
    <col min="8" max="8" width="0.7109375" style="71" customWidth="1"/>
    <col min="9" max="9" width="9.28515625" style="71" customWidth="1"/>
    <col min="10" max="10" width="0.5703125" style="71" customWidth="1"/>
    <col min="11" max="11" width="21.28515625" style="16" customWidth="1"/>
    <col min="12" max="12" width="0.7109375" style="71" customWidth="1"/>
    <col min="13" max="13" width="22.28515625" style="71" customWidth="1"/>
    <col min="14" max="14" width="0.42578125" style="71" customWidth="1"/>
    <col min="15" max="15" width="22.140625" style="71" customWidth="1"/>
    <col min="16" max="16" width="0.42578125" style="71" customWidth="1"/>
    <col min="17" max="17" width="18.42578125" style="71" customWidth="1"/>
    <col min="18" max="18" width="0.5703125" style="71" customWidth="1"/>
    <col min="19" max="19" width="12.140625" style="71" customWidth="1"/>
    <col min="20" max="16384" width="9.140625" style="71"/>
  </cols>
  <sheetData>
    <row r="1" spans="1:27" ht="18.75">
      <c r="A1" s="247" t="s">
        <v>94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</row>
    <row r="2" spans="1:27" ht="18.75">
      <c r="A2" s="247" t="s">
        <v>51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27" ht="18.75">
      <c r="A3" s="247" t="str">
        <f>' سهام'!A3:W3</f>
        <v>برای ماه منتهی به 1402/10/30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</row>
    <row r="4" spans="1:27" ht="18.75">
      <c r="A4" s="249" t="s">
        <v>52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</row>
    <row r="5" spans="1:27" ht="18.75" thickBot="1">
      <c r="A5" s="72"/>
      <c r="B5" s="72"/>
      <c r="C5" s="73"/>
      <c r="D5" s="73"/>
      <c r="E5" s="73"/>
      <c r="F5" s="73"/>
      <c r="G5" s="73"/>
      <c r="H5" s="73"/>
      <c r="I5" s="73"/>
      <c r="J5" s="73"/>
      <c r="K5" s="11"/>
      <c r="L5" s="73"/>
      <c r="M5" s="73"/>
      <c r="N5" s="73"/>
      <c r="O5" s="73"/>
      <c r="P5" s="73"/>
      <c r="Q5" s="73"/>
      <c r="R5" s="73"/>
      <c r="S5" s="73"/>
    </row>
    <row r="6" spans="1:27" ht="18.75" customHeight="1" thickBot="1">
      <c r="A6" s="74"/>
      <c r="B6" s="72"/>
      <c r="C6" s="245" t="s">
        <v>11</v>
      </c>
      <c r="D6" s="245"/>
      <c r="E6" s="245"/>
      <c r="F6" s="245"/>
      <c r="G6" s="245"/>
      <c r="H6" s="245"/>
      <c r="I6" s="245"/>
      <c r="J6" s="75"/>
      <c r="K6" s="12" t="str">
        <f>اوراق!M6</f>
        <v>1402/09/30</v>
      </c>
      <c r="L6" s="211"/>
      <c r="M6" s="246" t="s">
        <v>7</v>
      </c>
      <c r="N6" s="246"/>
      <c r="O6" s="246"/>
      <c r="P6" s="72"/>
      <c r="Q6" s="245" t="str">
        <f>اوراق!Y6</f>
        <v>1402/10/30</v>
      </c>
      <c r="R6" s="250"/>
      <c r="S6" s="250"/>
    </row>
    <row r="7" spans="1:27" ht="24" customHeight="1">
      <c r="A7" s="253" t="s">
        <v>8</v>
      </c>
      <c r="B7" s="76"/>
      <c r="C7" s="241" t="s">
        <v>9</v>
      </c>
      <c r="D7" s="76"/>
      <c r="E7" s="241" t="s">
        <v>10</v>
      </c>
      <c r="F7" s="76"/>
      <c r="G7" s="241" t="s">
        <v>34</v>
      </c>
      <c r="H7" s="76"/>
      <c r="I7" s="241" t="s">
        <v>89</v>
      </c>
      <c r="J7" s="253"/>
      <c r="K7" s="255" t="s">
        <v>6</v>
      </c>
      <c r="L7" s="76"/>
      <c r="M7" s="243" t="s">
        <v>36</v>
      </c>
      <c r="N7" s="77"/>
      <c r="O7" s="243" t="s">
        <v>37</v>
      </c>
      <c r="P7" s="72"/>
      <c r="Q7" s="251" t="s">
        <v>6</v>
      </c>
      <c r="R7" s="253"/>
      <c r="S7" s="248" t="s">
        <v>22</v>
      </c>
    </row>
    <row r="8" spans="1:27" ht="18.75" thickBot="1">
      <c r="A8" s="254"/>
      <c r="B8" s="76"/>
      <c r="C8" s="242"/>
      <c r="D8" s="78"/>
      <c r="E8" s="242"/>
      <c r="F8" s="78"/>
      <c r="G8" s="242"/>
      <c r="H8" s="78"/>
      <c r="I8" s="242"/>
      <c r="J8" s="253"/>
      <c r="K8" s="256"/>
      <c r="L8" s="76"/>
      <c r="M8" s="244"/>
      <c r="N8" s="72"/>
      <c r="O8" s="244"/>
      <c r="P8" s="72"/>
      <c r="Q8" s="252"/>
      <c r="R8" s="253"/>
      <c r="S8" s="242"/>
    </row>
    <row r="9" spans="1:27" s="72" customFormat="1" ht="18">
      <c r="A9" s="79" t="s">
        <v>104</v>
      </c>
      <c r="C9" s="80" t="s">
        <v>105</v>
      </c>
      <c r="E9" s="81" t="s">
        <v>92</v>
      </c>
      <c r="G9" s="80" t="s">
        <v>93</v>
      </c>
      <c r="I9" s="305">
        <v>5</v>
      </c>
      <c r="J9" s="13"/>
      <c r="K9" s="13">
        <v>1850062</v>
      </c>
      <c r="L9" s="13"/>
      <c r="M9" s="13">
        <v>7572</v>
      </c>
      <c r="N9" s="13"/>
      <c r="O9" s="13">
        <v>0</v>
      </c>
      <c r="P9" s="13"/>
      <c r="Q9" s="13">
        <v>1857634</v>
      </c>
      <c r="S9" s="14">
        <f>Q9/درآمدها!$J$5</f>
        <v>1.0791627215804792E-5</v>
      </c>
      <c r="T9" s="69"/>
      <c r="U9" s="82"/>
      <c r="V9" s="69"/>
      <c r="W9" s="82"/>
      <c r="X9" s="69"/>
      <c r="Y9" s="82"/>
      <c r="Z9" s="69"/>
      <c r="AA9" s="82"/>
    </row>
    <row r="10" spans="1:27" s="72" customFormat="1" ht="18.75" thickBot="1">
      <c r="A10" s="79" t="s">
        <v>103</v>
      </c>
      <c r="C10" s="80" t="s">
        <v>117</v>
      </c>
      <c r="E10" s="81" t="s">
        <v>92</v>
      </c>
      <c r="G10" s="80" t="s">
        <v>93</v>
      </c>
      <c r="I10" s="305">
        <v>5</v>
      </c>
      <c r="J10" s="13"/>
      <c r="K10" s="13">
        <v>1138022779</v>
      </c>
      <c r="L10" s="13"/>
      <c r="M10" s="13">
        <v>10190117969</v>
      </c>
      <c r="N10" s="13"/>
      <c r="O10" s="13">
        <v>10573314718</v>
      </c>
      <c r="P10" s="13"/>
      <c r="Q10" s="13">
        <v>754826030</v>
      </c>
      <c r="S10" s="14">
        <f>Q10/درآمدها!$J$5</f>
        <v>4.385040933007193E-3</v>
      </c>
      <c r="T10" s="69"/>
      <c r="U10" s="82"/>
      <c r="V10" s="69"/>
      <c r="W10" s="82"/>
      <c r="X10" s="69"/>
      <c r="Y10" s="82"/>
      <c r="AA10" s="82"/>
    </row>
    <row r="11" spans="1:27" s="72" customFormat="1" ht="24" customHeight="1" thickBot="1">
      <c r="A11" s="76" t="s">
        <v>2</v>
      </c>
      <c r="B11" s="76"/>
      <c r="C11" s="76"/>
      <c r="D11" s="76"/>
      <c r="E11" s="76"/>
      <c r="F11" s="76"/>
      <c r="G11" s="76"/>
      <c r="H11" s="76"/>
      <c r="I11" s="76"/>
      <c r="J11" s="207"/>
      <c r="K11" s="306">
        <f>SUM(K9:K10)</f>
        <v>1139872841</v>
      </c>
      <c r="M11" s="307">
        <f>SUM(M9:M10)</f>
        <v>10190125541</v>
      </c>
      <c r="O11" s="307">
        <f>SUM(O9:O10)</f>
        <v>10573314718</v>
      </c>
      <c r="Q11" s="307">
        <f>SUM(Q9:Q10)</f>
        <v>756683664</v>
      </c>
      <c r="S11" s="15">
        <f>SUM(S9:S10)</f>
        <v>4.3958325602229979E-3</v>
      </c>
    </row>
    <row r="12" spans="1:27" ht="18.75" thickTop="1">
      <c r="L12" s="72"/>
      <c r="N12" s="72"/>
      <c r="P12" s="72"/>
      <c r="R12" s="72"/>
    </row>
    <row r="13" spans="1:27" ht="18">
      <c r="L13" s="72"/>
      <c r="N13" s="72"/>
      <c r="P13" s="72"/>
      <c r="R13" s="72"/>
    </row>
    <row r="14" spans="1:27" ht="21.75">
      <c r="K14" s="69"/>
      <c r="L14" s="17"/>
      <c r="M14" s="69"/>
      <c r="N14" s="83"/>
      <c r="O14" s="69"/>
      <c r="P14" s="17"/>
      <c r="Q14" s="69"/>
    </row>
    <row r="15" spans="1:27" ht="21.75">
      <c r="K15" s="17"/>
      <c r="L15" s="17"/>
      <c r="M15" s="17"/>
      <c r="N15" s="17"/>
      <c r="O15" s="17"/>
      <c r="P15" s="17"/>
      <c r="Q15" s="17"/>
    </row>
    <row r="16" spans="1:27" ht="21.75">
      <c r="K16" s="17"/>
      <c r="M16" s="17"/>
      <c r="O16" s="17"/>
      <c r="Q16" s="17"/>
    </row>
    <row r="17" spans="11:20" ht="21.75">
      <c r="K17" s="17"/>
      <c r="L17" s="17"/>
      <c r="M17" s="17"/>
      <c r="N17" s="17"/>
      <c r="O17" s="17"/>
      <c r="P17" s="17"/>
      <c r="Q17" s="17"/>
    </row>
    <row r="18" spans="11:20" ht="21.75">
      <c r="K18" s="17"/>
      <c r="M18" s="17"/>
      <c r="O18" s="17"/>
      <c r="Q18" s="17"/>
    </row>
    <row r="19" spans="11:20">
      <c r="Q19" s="84"/>
      <c r="T19" s="183"/>
    </row>
    <row r="20" spans="11:20">
      <c r="T20" s="183"/>
    </row>
    <row r="23" spans="11:20">
      <c r="T23" s="183"/>
    </row>
  </sheetData>
  <autoFilter ref="A8:S8" xr:uid="{00000000-0009-0000-0000-000003000000}">
    <sortState xmlns:xlrd2="http://schemas.microsoft.com/office/spreadsheetml/2017/richdata2" ref="A10:S11">
      <sortCondition descending="1" ref="Q8"/>
    </sortState>
  </autoFilter>
  <mergeCells count="19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ageMargins left="0.25" right="0.25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N38"/>
  <sheetViews>
    <sheetView rightToLeft="1" view="pageBreakPreview" zoomScaleNormal="100" zoomScaleSheetLayoutView="100" workbookViewId="0">
      <selection activeCell="A14" sqref="A14"/>
    </sheetView>
  </sheetViews>
  <sheetFormatPr defaultColWidth="9.140625" defaultRowHeight="18"/>
  <cols>
    <col min="1" max="1" width="65.7109375" style="109" customWidth="1"/>
    <col min="2" max="2" width="1" style="109" customWidth="1"/>
    <col min="3" max="3" width="9.140625" style="86"/>
    <col min="4" max="4" width="1.140625" style="86" customWidth="1"/>
    <col min="5" max="5" width="25.28515625" style="19" bestFit="1" customWidth="1"/>
    <col min="6" max="6" width="1" style="86" customWidth="1"/>
    <col min="7" max="7" width="19.7109375" style="86" customWidth="1"/>
    <col min="8" max="8" width="0.42578125" style="86" customWidth="1"/>
    <col min="9" max="9" width="24.5703125" style="86" customWidth="1"/>
    <col min="10" max="10" width="21.28515625" style="110" bestFit="1" customWidth="1"/>
    <col min="11" max="11" width="17.7109375" style="110" bestFit="1" customWidth="1"/>
    <col min="12" max="12" width="14.28515625" style="86" bestFit="1" customWidth="1"/>
    <col min="13" max="13" width="12.5703125" style="86" bestFit="1" customWidth="1"/>
    <col min="14" max="14" width="9.5703125" style="86" bestFit="1" customWidth="1"/>
    <col min="15" max="16384" width="9.140625" style="86"/>
  </cols>
  <sheetData>
    <row r="1" spans="1:14" ht="21">
      <c r="A1" s="247" t="s">
        <v>94</v>
      </c>
      <c r="B1" s="247"/>
      <c r="C1" s="247"/>
      <c r="D1" s="247"/>
      <c r="E1" s="247"/>
      <c r="F1" s="247"/>
      <c r="G1" s="247"/>
      <c r="H1" s="247"/>
      <c r="I1" s="247"/>
      <c r="J1" s="85"/>
      <c r="K1" s="85"/>
    </row>
    <row r="2" spans="1:14" ht="21">
      <c r="A2" s="247" t="s">
        <v>51</v>
      </c>
      <c r="B2" s="247"/>
      <c r="C2" s="247"/>
      <c r="D2" s="247"/>
      <c r="E2" s="247"/>
      <c r="F2" s="247"/>
      <c r="G2" s="247"/>
      <c r="H2" s="247"/>
      <c r="I2" s="247"/>
      <c r="J2" s="87"/>
      <c r="K2" s="85"/>
    </row>
    <row r="3" spans="1:14" ht="21.75" thickBot="1">
      <c r="A3" s="247" t="str">
        <f>سپرده!A3</f>
        <v>برای ماه منتهی به 1402/10/30</v>
      </c>
      <c r="B3" s="247"/>
      <c r="C3" s="247"/>
      <c r="D3" s="247"/>
      <c r="E3" s="247"/>
      <c r="F3" s="247"/>
      <c r="G3" s="247"/>
      <c r="H3" s="247"/>
      <c r="I3" s="247"/>
      <c r="J3" s="85"/>
      <c r="K3" s="85"/>
    </row>
    <row r="4" spans="1:14" ht="21.75" thickBot="1">
      <c r="A4" s="88" t="s">
        <v>27</v>
      </c>
      <c r="B4" s="89"/>
      <c r="C4" s="89"/>
      <c r="D4" s="89"/>
      <c r="E4" s="89"/>
      <c r="F4" s="89"/>
      <c r="G4" s="89"/>
      <c r="H4" s="89"/>
      <c r="I4" s="89"/>
      <c r="J4" s="18">
        <v>11565419701</v>
      </c>
      <c r="K4" s="90" t="s">
        <v>91</v>
      </c>
    </row>
    <row r="5" spans="1:14" ht="21.75" customHeight="1" thickBot="1">
      <c r="A5" s="88"/>
      <c r="B5" s="88"/>
      <c r="C5" s="88"/>
      <c r="D5" s="88"/>
      <c r="E5" s="245" t="str">
        <f>اوراق!Y6</f>
        <v>1402/10/30</v>
      </c>
      <c r="F5" s="245"/>
      <c r="G5" s="245"/>
      <c r="H5" s="245"/>
      <c r="I5" s="245"/>
      <c r="J5" s="18">
        <v>172136598388</v>
      </c>
      <c r="K5" s="90" t="s">
        <v>90</v>
      </c>
    </row>
    <row r="6" spans="1:14" ht="21.75" customHeight="1" thickBot="1">
      <c r="A6" s="91" t="s">
        <v>38</v>
      </c>
      <c r="B6" s="92"/>
      <c r="C6" s="93" t="s">
        <v>39</v>
      </c>
      <c r="D6" s="77"/>
      <c r="E6" s="94" t="s">
        <v>6</v>
      </c>
      <c r="F6" s="77"/>
      <c r="G6" s="93" t="s">
        <v>19</v>
      </c>
      <c r="H6" s="77"/>
      <c r="I6" s="93" t="s">
        <v>88</v>
      </c>
      <c r="J6" s="95"/>
      <c r="K6" s="95"/>
    </row>
    <row r="7" spans="1:14" ht="21" customHeight="1">
      <c r="A7" s="96" t="s">
        <v>106</v>
      </c>
      <c r="B7" s="96"/>
      <c r="C7" s="97" t="s">
        <v>53</v>
      </c>
      <c r="D7" s="89"/>
      <c r="E7" s="98">
        <f>'درآمد سرمایه گذاری در سهام '!S32</f>
        <v>11495066979</v>
      </c>
      <c r="F7" s="89"/>
      <c r="G7" s="99">
        <f>E7/$E$11*100</f>
        <v>99.561310098306265</v>
      </c>
      <c r="H7" s="100"/>
      <c r="I7" s="101">
        <f>E7/$J$5*100</f>
        <v>6.6778750635526354</v>
      </c>
      <c r="J7" s="95"/>
      <c r="K7" s="95"/>
    </row>
    <row r="8" spans="1:14" ht="18.75" customHeight="1">
      <c r="A8" s="96" t="s">
        <v>48</v>
      </c>
      <c r="B8" s="96"/>
      <c r="C8" s="97" t="s">
        <v>54</v>
      </c>
      <c r="D8" s="89"/>
      <c r="E8" s="168">
        <f>'درآمد سرمایه گذاری در اوراق بها'!O14</f>
        <v>26883337</v>
      </c>
      <c r="F8" s="89"/>
      <c r="G8" s="99">
        <f t="shared" ref="G8:G10" si="0">E8/$E$11*100</f>
        <v>0.23284251030672229</v>
      </c>
      <c r="H8" s="100"/>
      <c r="I8" s="101">
        <f t="shared" ref="I8:I10" si="1">E8/$J$5*100</f>
        <v>1.5617444083218326E-2</v>
      </c>
      <c r="J8" s="95"/>
      <c r="K8" s="95"/>
      <c r="L8" s="95"/>
      <c r="M8" s="102"/>
      <c r="N8" s="103"/>
    </row>
    <row r="9" spans="1:14" ht="18.75" customHeight="1">
      <c r="A9" s="96" t="s">
        <v>49</v>
      </c>
      <c r="B9" s="96"/>
      <c r="C9" s="97" t="s">
        <v>55</v>
      </c>
      <c r="D9" s="89"/>
      <c r="E9" s="96">
        <f>'درآمد سپرده بانکی'!I10</f>
        <v>650741</v>
      </c>
      <c r="F9" s="89"/>
      <c r="G9" s="99">
        <f t="shared" si="0"/>
        <v>5.6362113081239416E-3</v>
      </c>
      <c r="H9" s="100"/>
      <c r="I9" s="101">
        <f t="shared" si="1"/>
        <v>3.7803756208381337E-4</v>
      </c>
      <c r="J9" s="95"/>
      <c r="K9" s="95"/>
      <c r="M9" s="102"/>
      <c r="N9" s="103"/>
    </row>
    <row r="10" spans="1:14" ht="19.5" customHeight="1" thickBot="1">
      <c r="A10" s="96" t="s">
        <v>32</v>
      </c>
      <c r="B10" s="96"/>
      <c r="C10" s="97" t="s">
        <v>56</v>
      </c>
      <c r="D10" s="89"/>
      <c r="E10" s="104">
        <f>'سایر درآمدها'!E11</f>
        <v>23115816</v>
      </c>
      <c r="F10" s="89"/>
      <c r="G10" s="99">
        <f t="shared" si="0"/>
        <v>0.20021118007888294</v>
      </c>
      <c r="H10" s="100"/>
      <c r="I10" s="101">
        <f t="shared" si="1"/>
        <v>1.3428763096559165E-2</v>
      </c>
      <c r="J10" s="95"/>
      <c r="K10" s="95"/>
      <c r="M10" s="102"/>
      <c r="N10" s="103"/>
    </row>
    <row r="11" spans="1:14" ht="19.5" customHeight="1" thickBot="1">
      <c r="A11" s="96" t="s">
        <v>2</v>
      </c>
      <c r="B11" s="105"/>
      <c r="C11" s="72"/>
      <c r="D11" s="72"/>
      <c r="E11" s="106">
        <f>SUM(E7:E10)</f>
        <v>11545716873</v>
      </c>
      <c r="F11" s="72"/>
      <c r="G11" s="107">
        <f>SUM(G7:G10)</f>
        <v>100</v>
      </c>
      <c r="H11" s="100"/>
      <c r="I11" s="108">
        <f>SUM(I7:I10)</f>
        <v>6.7072993082944965</v>
      </c>
      <c r="J11" s="95"/>
      <c r="K11" s="95"/>
    </row>
    <row r="12" spans="1:14" ht="18.75" customHeight="1" thickTop="1">
      <c r="J12" s="95"/>
      <c r="K12" s="95"/>
    </row>
    <row r="13" spans="1:14" ht="18" customHeight="1">
      <c r="E13" s="20"/>
      <c r="F13" s="20"/>
      <c r="G13" s="20"/>
      <c r="J13" s="95"/>
      <c r="K13" s="95"/>
    </row>
    <row r="14" spans="1:14" ht="18" customHeight="1">
      <c r="E14" s="20"/>
      <c r="F14" s="20"/>
      <c r="G14" s="20"/>
      <c r="J14" s="95"/>
      <c r="K14" s="95"/>
    </row>
    <row r="15" spans="1:14" ht="18" customHeight="1">
      <c r="E15" s="20"/>
      <c r="F15" s="20"/>
      <c r="G15" s="20"/>
      <c r="J15" s="95"/>
      <c r="K15" s="95"/>
    </row>
    <row r="16" spans="1:14" ht="18" customHeight="1">
      <c r="E16" s="20"/>
      <c r="F16" s="20"/>
      <c r="G16" s="20"/>
      <c r="J16" s="95"/>
      <c r="K16" s="95"/>
    </row>
    <row r="17" spans="1:11" ht="17.45" customHeight="1">
      <c r="E17" s="20"/>
      <c r="F17" s="20"/>
      <c r="G17" s="20"/>
      <c r="J17" s="95"/>
      <c r="K17" s="95"/>
    </row>
    <row r="18" spans="1:11" ht="17.45" customHeight="1">
      <c r="E18" s="20"/>
      <c r="F18" s="20"/>
      <c r="G18" s="20"/>
    </row>
    <row r="19" spans="1:11" ht="17.45" customHeight="1"/>
    <row r="21" spans="1:11">
      <c r="A21" s="109" t="s">
        <v>60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6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U20"/>
  <sheetViews>
    <sheetView rightToLeft="1" view="pageBreakPreview" zoomScale="70" zoomScaleNormal="100" zoomScaleSheetLayoutView="70" workbookViewId="0">
      <selection activeCell="H13" sqref="H13"/>
    </sheetView>
  </sheetViews>
  <sheetFormatPr defaultColWidth="9.140625" defaultRowHeight="18"/>
  <cols>
    <col min="1" max="1" width="50.85546875" style="72" customWidth="1"/>
    <col min="2" max="2" width="15.5703125" style="72" bestFit="1" customWidth="1"/>
    <col min="3" max="3" width="0.85546875" style="72" customWidth="1"/>
    <col min="4" max="4" width="14" style="72" bestFit="1" customWidth="1"/>
    <col min="5" max="5" width="1.28515625" style="72" customWidth="1"/>
    <col min="6" max="6" width="12.42578125" style="72" customWidth="1"/>
    <col min="7" max="7" width="1" style="72" customWidth="1"/>
    <col min="8" max="8" width="25" style="24" bestFit="1" customWidth="1"/>
    <col min="9" max="9" width="0.85546875" style="24" customWidth="1"/>
    <col min="10" max="10" width="25" style="24" bestFit="1" customWidth="1"/>
    <col min="11" max="11" width="0.7109375" style="24" customWidth="1"/>
    <col min="12" max="12" width="23.140625" style="24" bestFit="1" customWidth="1"/>
    <col min="13" max="13" width="0.7109375" style="24" customWidth="1"/>
    <col min="14" max="14" width="23.140625" style="24" bestFit="1" customWidth="1"/>
    <col min="15" max="15" width="0.5703125" style="24" customWidth="1"/>
    <col min="16" max="16" width="17" style="24" bestFit="1" customWidth="1"/>
    <col min="17" max="17" width="0.5703125" style="24" customWidth="1"/>
    <col min="18" max="18" width="23.140625" style="24" bestFit="1" customWidth="1"/>
    <col min="19" max="19" width="9.140625" style="72"/>
    <col min="20" max="20" width="14.28515625" style="72" bestFit="1" customWidth="1"/>
    <col min="21" max="16384" width="9.140625" style="72"/>
  </cols>
  <sheetData>
    <row r="1" spans="1:21" ht="24.75">
      <c r="A1" s="233" t="s">
        <v>94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21" ht="24.75">
      <c r="A2" s="233" t="s">
        <v>57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</row>
    <row r="3" spans="1:21" ht="24.75">
      <c r="A3" s="233" t="str">
        <f>' سهام'!A3:W3</f>
        <v>برای ماه منتهی به 1402/10/30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1" ht="24.75">
      <c r="A4" s="239" t="s">
        <v>66</v>
      </c>
      <c r="B4" s="239"/>
      <c r="C4" s="239"/>
      <c r="D4" s="239"/>
      <c r="E4" s="239"/>
      <c r="F4" s="239"/>
      <c r="G4" s="239"/>
      <c r="H4" s="239"/>
      <c r="I4" s="21"/>
      <c r="J4" s="22"/>
      <c r="K4" s="22"/>
      <c r="L4" s="22"/>
      <c r="M4" s="22"/>
      <c r="N4" s="22"/>
      <c r="O4" s="22"/>
      <c r="P4" s="22"/>
      <c r="Q4" s="22"/>
      <c r="R4" s="22"/>
    </row>
    <row r="5" spans="1:21" ht="24.75" customHeight="1" thickBot="1">
      <c r="A5" s="113"/>
      <c r="B5" s="257"/>
      <c r="C5" s="257"/>
      <c r="D5" s="257"/>
      <c r="E5" s="257"/>
      <c r="F5" s="257"/>
      <c r="G5" s="114"/>
      <c r="H5" s="258" t="s">
        <v>141</v>
      </c>
      <c r="I5" s="258"/>
      <c r="J5" s="258"/>
      <c r="K5" s="258"/>
      <c r="L5" s="258"/>
      <c r="M5" s="22"/>
      <c r="N5" s="258" t="s">
        <v>142</v>
      </c>
      <c r="O5" s="258"/>
      <c r="P5" s="258"/>
      <c r="Q5" s="258"/>
      <c r="R5" s="258"/>
    </row>
    <row r="6" spans="1:21" ht="46.5" customHeight="1" thickBot="1">
      <c r="A6" s="115" t="s">
        <v>38</v>
      </c>
      <c r="B6" s="116" t="s">
        <v>41</v>
      </c>
      <c r="C6" s="209"/>
      <c r="D6" s="116" t="s">
        <v>23</v>
      </c>
      <c r="E6" s="209"/>
      <c r="F6" s="116" t="s">
        <v>35</v>
      </c>
      <c r="G6" s="209"/>
      <c r="H6" s="23" t="s">
        <v>58</v>
      </c>
      <c r="I6" s="208"/>
      <c r="J6" s="23" t="s">
        <v>40</v>
      </c>
      <c r="K6" s="208"/>
      <c r="L6" s="23" t="s">
        <v>42</v>
      </c>
      <c r="M6" s="22"/>
      <c r="N6" s="23" t="s">
        <v>58</v>
      </c>
      <c r="O6" s="208"/>
      <c r="P6" s="23" t="s">
        <v>40</v>
      </c>
      <c r="Q6" s="208"/>
      <c r="R6" s="23" t="s">
        <v>42</v>
      </c>
    </row>
    <row r="7" spans="1:21" s="83" customFormat="1" ht="46.5" customHeight="1">
      <c r="A7" s="188" t="s">
        <v>103</v>
      </c>
      <c r="B7" s="35" t="s">
        <v>140</v>
      </c>
      <c r="C7" s="209"/>
      <c r="D7" s="189" t="s">
        <v>93</v>
      </c>
      <c r="E7" s="114"/>
      <c r="F7" s="35">
        <v>5</v>
      </c>
      <c r="G7" s="114"/>
      <c r="H7" s="35">
        <v>443615</v>
      </c>
      <c r="I7" s="35"/>
      <c r="J7" s="35">
        <v>0</v>
      </c>
      <c r="K7" s="35"/>
      <c r="L7" s="35">
        <f>H7+J7</f>
        <v>443615</v>
      </c>
      <c r="M7" s="35"/>
      <c r="N7" s="35">
        <v>628089</v>
      </c>
      <c r="O7" s="35"/>
      <c r="P7" s="35">
        <v>0</v>
      </c>
      <c r="Q7" s="35"/>
      <c r="R7" s="35">
        <f>N7+P7</f>
        <v>628089</v>
      </c>
      <c r="S7" s="69"/>
      <c r="T7" s="117"/>
      <c r="U7" s="117"/>
    </row>
    <row r="8" spans="1:21" s="83" customFormat="1" ht="46.5" customHeight="1">
      <c r="A8" s="188" t="s">
        <v>104</v>
      </c>
      <c r="B8" s="35" t="s">
        <v>144</v>
      </c>
      <c r="C8" s="209"/>
      <c r="D8" s="189" t="s">
        <v>93</v>
      </c>
      <c r="E8" s="114"/>
      <c r="F8" s="35">
        <v>5</v>
      </c>
      <c r="G8" s="114"/>
      <c r="H8" s="35">
        <v>7572</v>
      </c>
      <c r="I8" s="35"/>
      <c r="J8" s="35">
        <v>0</v>
      </c>
      <c r="K8" s="35"/>
      <c r="L8" s="35">
        <f>H8+J8</f>
        <v>7572</v>
      </c>
      <c r="M8" s="35"/>
      <c r="N8" s="35">
        <v>22652</v>
      </c>
      <c r="O8" s="35"/>
      <c r="P8" s="35">
        <v>0</v>
      </c>
      <c r="Q8" s="35"/>
      <c r="R8" s="35">
        <f>N8+P8</f>
        <v>22652</v>
      </c>
      <c r="S8" s="69"/>
      <c r="T8" s="117"/>
      <c r="U8" s="117"/>
    </row>
    <row r="9" spans="1:21" ht="47.45" customHeight="1" thickBot="1">
      <c r="A9" s="188"/>
      <c r="B9" s="114"/>
      <c r="C9" s="114"/>
      <c r="D9" s="114"/>
      <c r="E9" s="114"/>
      <c r="F9" s="114"/>
      <c r="G9" s="114"/>
      <c r="H9" s="303">
        <f>SUM(H7:H8)</f>
        <v>451187</v>
      </c>
      <c r="I9" s="137"/>
      <c r="J9" s="303">
        <f>SUM(J7:J8)</f>
        <v>0</v>
      </c>
      <c r="K9" s="137"/>
      <c r="L9" s="303">
        <f>SUM(L7:L8)</f>
        <v>451187</v>
      </c>
      <c r="M9" s="137"/>
      <c r="N9" s="303">
        <f>SUM(N7:N8)</f>
        <v>650741</v>
      </c>
      <c r="O9" s="137"/>
      <c r="P9" s="303">
        <f>SUM(P7:P8)</f>
        <v>0</v>
      </c>
      <c r="Q9" s="304" t="e">
        <f>SUM(#REF!)</f>
        <v>#REF!</v>
      </c>
      <c r="R9" s="303">
        <f>SUM(R7:R8)</f>
        <v>650741</v>
      </c>
    </row>
    <row r="10" spans="1:21" ht="22.5" thickTop="1">
      <c r="I10" s="83"/>
      <c r="K10" s="83"/>
      <c r="M10" s="83"/>
      <c r="O10" s="83"/>
    </row>
    <row r="11" spans="1:21" ht="21.75">
      <c r="I11" s="83"/>
      <c r="K11" s="83"/>
      <c r="M11" s="83"/>
      <c r="O11" s="83"/>
    </row>
    <row r="12" spans="1:21" ht="21.75">
      <c r="H12" s="69"/>
      <c r="I12" s="83"/>
      <c r="K12" s="83"/>
      <c r="M12" s="83"/>
    </row>
    <row r="13" spans="1:21" s="86" customFormat="1" ht="21.75">
      <c r="H13" s="111"/>
      <c r="J13" s="112"/>
      <c r="L13" s="25"/>
      <c r="N13" s="26"/>
      <c r="P13" s="111"/>
      <c r="R13" s="13"/>
    </row>
    <row r="14" spans="1:21" s="86" customFormat="1" ht="21.75">
      <c r="H14" s="27"/>
      <c r="I14" s="102"/>
      <c r="J14" s="102"/>
      <c r="L14" s="25"/>
      <c r="N14" s="27"/>
      <c r="P14" s="102"/>
      <c r="R14" s="13"/>
    </row>
    <row r="15" spans="1:21" ht="21.75">
      <c r="H15" s="17"/>
      <c r="I15" s="83"/>
      <c r="K15" s="83"/>
      <c r="L15" s="13"/>
      <c r="N15" s="17"/>
      <c r="R15" s="13"/>
    </row>
    <row r="16" spans="1:21" ht="21.75">
      <c r="H16" s="28"/>
      <c r="K16" s="83"/>
      <c r="L16" s="13"/>
      <c r="N16" s="28"/>
      <c r="R16" s="13"/>
    </row>
    <row r="17" spans="12:18">
      <c r="L17" s="13"/>
      <c r="R17" s="13"/>
    </row>
    <row r="18" spans="12:18">
      <c r="L18" s="13"/>
      <c r="R18" s="13"/>
    </row>
    <row r="19" spans="12:18">
      <c r="L19" s="13"/>
      <c r="R19" s="13"/>
    </row>
    <row r="20" spans="12:18">
      <c r="L20" s="13"/>
      <c r="R20" s="13"/>
    </row>
  </sheetData>
  <autoFilter ref="A6:R6" xr:uid="{00000000-0009-0000-0000-000005000000}">
    <sortState xmlns:xlrd2="http://schemas.microsoft.com/office/spreadsheetml/2017/richdata2" ref="A7:R14">
      <sortCondition descending="1" ref="R6"/>
    </sortState>
  </autoFilter>
  <mergeCells count="7">
    <mergeCell ref="A4:H4"/>
    <mergeCell ref="B5:F5"/>
    <mergeCell ref="N5:R5"/>
    <mergeCell ref="A1:R1"/>
    <mergeCell ref="A2:R2"/>
    <mergeCell ref="A3:R3"/>
    <mergeCell ref="H5:L5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W20"/>
  <sheetViews>
    <sheetView rightToLeft="1" view="pageBreakPreview" zoomScale="90" zoomScaleNormal="100" zoomScaleSheetLayoutView="90" workbookViewId="0">
      <selection activeCell="G16" sqref="G16"/>
    </sheetView>
  </sheetViews>
  <sheetFormatPr defaultColWidth="9.140625" defaultRowHeight="17.25"/>
  <cols>
    <col min="1" max="1" width="30.5703125" style="86" bestFit="1" customWidth="1"/>
    <col min="2" max="2" width="0.5703125" style="86" customWidth="1"/>
    <col min="3" max="3" width="15" style="86" customWidth="1"/>
    <col min="4" max="4" width="0.85546875" style="86" customWidth="1"/>
    <col min="5" max="5" width="15.28515625" style="86" bestFit="1" customWidth="1"/>
    <col min="6" max="6" width="1.140625" style="86" customWidth="1"/>
    <col min="7" max="7" width="9.42578125" style="86" bestFit="1" customWidth="1"/>
    <col min="8" max="8" width="0.5703125" style="86" customWidth="1"/>
    <col min="9" max="9" width="19.42578125" style="86" customWidth="1"/>
    <col min="10" max="10" width="1" style="86" customWidth="1"/>
    <col min="11" max="11" width="15.28515625" style="86" customWidth="1"/>
    <col min="12" max="12" width="1.140625" style="86" customWidth="1"/>
    <col min="13" max="13" width="18.28515625" style="86" customWidth="1"/>
    <col min="14" max="14" width="1" style="86" customWidth="1"/>
    <col min="15" max="15" width="19.42578125" style="86" bestFit="1" customWidth="1"/>
    <col min="16" max="16" width="1.140625" style="86" customWidth="1"/>
    <col min="17" max="17" width="16" style="86" bestFit="1" customWidth="1"/>
    <col min="18" max="18" width="1.140625" style="86" customWidth="1"/>
    <col min="19" max="19" width="21.140625" style="86" bestFit="1" customWidth="1"/>
    <col min="20" max="20" width="2.85546875" style="86" customWidth="1"/>
    <col min="21" max="16384" width="9.140625" style="86"/>
  </cols>
  <sheetData>
    <row r="1" spans="1:23" ht="22.5">
      <c r="A1" s="261" t="s">
        <v>94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</row>
    <row r="2" spans="1:23" ht="22.5">
      <c r="A2" s="261" t="s">
        <v>57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23" ht="22.5">
      <c r="A3" s="261" t="str">
        <f>' سهام'!A3:W3</f>
        <v>برای ماه منتهی به 1402/10/30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23" ht="22.5">
      <c r="A4" s="262" t="s">
        <v>77</v>
      </c>
      <c r="B4" s="262"/>
      <c r="C4" s="262"/>
      <c r="D4" s="262"/>
      <c r="E4" s="262"/>
      <c r="F4" s="262"/>
      <c r="G4" s="262"/>
      <c r="H4" s="262"/>
      <c r="I4" s="263"/>
      <c r="J4" s="263"/>
      <c r="K4" s="263"/>
      <c r="L4" s="263"/>
      <c r="M4" s="263"/>
      <c r="N4" s="263"/>
      <c r="O4" s="263"/>
      <c r="P4" s="263"/>
      <c r="Q4" s="262"/>
      <c r="R4" s="262"/>
      <c r="S4" s="262"/>
    </row>
    <row r="6" spans="1:23" ht="18.75">
      <c r="C6" s="259" t="s">
        <v>78</v>
      </c>
      <c r="D6" s="260"/>
      <c r="E6" s="260"/>
      <c r="F6" s="260"/>
      <c r="G6" s="260"/>
      <c r="I6" s="259" t="s">
        <v>79</v>
      </c>
      <c r="J6" s="260"/>
      <c r="K6" s="260"/>
      <c r="L6" s="260"/>
      <c r="M6" s="260"/>
      <c r="O6" s="259" t="str">
        <f>اوراق!Y6</f>
        <v>1402/10/30</v>
      </c>
      <c r="P6" s="260"/>
      <c r="Q6" s="260"/>
      <c r="R6" s="260"/>
      <c r="S6" s="260"/>
    </row>
    <row r="7" spans="1:23" ht="56.25">
      <c r="A7" s="169" t="s">
        <v>80</v>
      </c>
      <c r="C7" s="118" t="s">
        <v>81</v>
      </c>
      <c r="E7" s="118" t="s">
        <v>82</v>
      </c>
      <c r="G7" s="118" t="s">
        <v>83</v>
      </c>
      <c r="I7" s="118" t="s">
        <v>84</v>
      </c>
      <c r="K7" s="118" t="s">
        <v>85</v>
      </c>
      <c r="M7" s="118" t="s">
        <v>86</v>
      </c>
      <c r="O7" s="118" t="s">
        <v>84</v>
      </c>
      <c r="Q7" s="118" t="s">
        <v>85</v>
      </c>
      <c r="S7" s="118" t="s">
        <v>86</v>
      </c>
    </row>
    <row r="8" spans="1:23" ht="21.75">
      <c r="A8" s="119"/>
      <c r="B8" s="120"/>
      <c r="C8" s="29"/>
      <c r="D8" s="29"/>
      <c r="E8" s="13"/>
      <c r="F8" s="13"/>
      <c r="G8" s="13"/>
      <c r="H8" s="13"/>
      <c r="I8" s="13">
        <v>0</v>
      </c>
      <c r="J8" s="13"/>
      <c r="K8" s="13">
        <v>0</v>
      </c>
      <c r="L8" s="13"/>
      <c r="M8" s="13">
        <v>0</v>
      </c>
      <c r="N8" s="13"/>
      <c r="O8" s="13">
        <v>0</v>
      </c>
      <c r="P8" s="13"/>
      <c r="Q8" s="13">
        <v>0</v>
      </c>
      <c r="R8" s="13"/>
      <c r="S8" s="13">
        <f>O8+Q8</f>
        <v>0</v>
      </c>
      <c r="U8" s="121"/>
      <c r="V8" s="121"/>
      <c r="W8" s="121"/>
    </row>
    <row r="9" spans="1:23" ht="18.75" thickBot="1">
      <c r="A9" s="122" t="s">
        <v>87</v>
      </c>
      <c r="E9" s="102"/>
      <c r="F9" s="102"/>
      <c r="G9" s="102"/>
      <c r="H9" s="102"/>
      <c r="I9" s="123">
        <f>SUM(I8:I8)</f>
        <v>0</v>
      </c>
      <c r="J9" s="124" t="e">
        <f>SUM(#REF!)</f>
        <v>#REF!</v>
      </c>
      <c r="K9" s="125">
        <f>SUM(K8:K8)</f>
        <v>0</v>
      </c>
      <c r="L9" s="124" t="e">
        <f>SUM(#REF!)</f>
        <v>#REF!</v>
      </c>
      <c r="M9" s="123">
        <f>SUM(M8:M8)</f>
        <v>0</v>
      </c>
      <c r="N9" s="124" t="e">
        <f>SUM(#REF!)</f>
        <v>#REF!</v>
      </c>
      <c r="O9" s="123">
        <f>SUM(O8:O8)</f>
        <v>0</v>
      </c>
      <c r="P9" s="124"/>
      <c r="Q9" s="123">
        <f>SUM(Q8:Q8)</f>
        <v>0</v>
      </c>
      <c r="R9" s="124" t="e">
        <f>SUM(#REF!)</f>
        <v>#REF!</v>
      </c>
      <c r="S9" s="123">
        <f>SUM(S8:S8)</f>
        <v>0</v>
      </c>
    </row>
    <row r="10" spans="1:23" ht="18.75" thickTop="1">
      <c r="I10" s="126"/>
      <c r="K10" s="126"/>
      <c r="M10" s="126"/>
      <c r="O10" s="126"/>
      <c r="Q10" s="126"/>
      <c r="S10" s="126"/>
    </row>
    <row r="11" spans="1:23" ht="16.5" customHeight="1"/>
    <row r="12" spans="1:23" s="13" customFormat="1" ht="18"/>
    <row r="13" spans="1:23" s="13" customFormat="1" ht="18"/>
    <row r="14" spans="1:23" s="13" customFormat="1" ht="18"/>
    <row r="15" spans="1:23" s="13" customFormat="1" ht="18"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23" s="13" customFormat="1" ht="18"/>
    <row r="17" s="13" customFormat="1" ht="18"/>
    <row r="18" s="13" customFormat="1" ht="18"/>
    <row r="19" s="13" customFormat="1" ht="18"/>
    <row r="20" s="13" customFormat="1" ht="18"/>
  </sheetData>
  <autoFilter ref="A7:S7" xr:uid="{00000000-0009-0000-0000-000006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A47"/>
  <sheetViews>
    <sheetView rightToLeft="1" view="pageBreakPreview" zoomScale="90" zoomScaleNormal="100" zoomScaleSheetLayoutView="90" workbookViewId="0">
      <selection activeCell="R10" sqref="R10"/>
    </sheetView>
  </sheetViews>
  <sheetFormatPr defaultColWidth="9.140625" defaultRowHeight="17.25"/>
  <cols>
    <col min="1" max="1" width="29.7109375" style="86" customWidth="1"/>
    <col min="2" max="2" width="1.140625" style="86" customWidth="1"/>
    <col min="3" max="3" width="17.28515625" style="86" bestFit="1" customWidth="1"/>
    <col min="4" max="4" width="0.85546875" style="86" customWidth="1"/>
    <col min="5" max="5" width="24.5703125" style="19" bestFit="1" customWidth="1"/>
    <col min="6" max="6" width="0.5703125" style="19" customWidth="1"/>
    <col min="7" max="7" width="22.5703125" style="19" bestFit="1" customWidth="1"/>
    <col min="8" max="8" width="0.85546875" style="19" customWidth="1"/>
    <col min="9" max="9" width="22" style="36" bestFit="1" customWidth="1"/>
    <col min="10" max="10" width="0.5703125" style="36" customWidth="1"/>
    <col min="11" max="11" width="13.7109375" style="36" customWidth="1"/>
    <col min="12" max="12" width="0.42578125" style="36" customWidth="1"/>
    <col min="13" max="13" width="26.28515625" style="36" bestFit="1" customWidth="1"/>
    <col min="14" max="14" width="0.42578125" style="36" customWidth="1"/>
    <col min="15" max="15" width="24.28515625" style="36" bestFit="1" customWidth="1"/>
    <col min="16" max="16" width="0.5703125" style="36" customWidth="1"/>
    <col min="17" max="17" width="24.28515625" style="36" bestFit="1" customWidth="1"/>
    <col min="18" max="18" width="9.5703125" style="86" bestFit="1" customWidth="1"/>
    <col min="19" max="19" width="13.7109375" style="86" bestFit="1" customWidth="1"/>
    <col min="20" max="20" width="14.140625" style="86" customWidth="1"/>
    <col min="21" max="21" width="12.5703125" style="86" bestFit="1" customWidth="1"/>
    <col min="22" max="22" width="9.140625" style="86"/>
    <col min="23" max="23" width="9.5703125" style="86" bestFit="1" customWidth="1"/>
    <col min="24" max="25" width="12.5703125" style="86" bestFit="1" customWidth="1"/>
    <col min="26" max="16384" width="9.140625" style="86"/>
  </cols>
  <sheetData>
    <row r="1" spans="1:27" ht="22.5">
      <c r="A1" s="261" t="s">
        <v>94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27" ht="22.5">
      <c r="A2" s="261" t="s">
        <v>57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</row>
    <row r="3" spans="1:27" ht="22.5">
      <c r="A3" s="261" t="str">
        <f>' سهام'!A3:W3</f>
        <v>برای ماه منتهی به 1402/10/30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</row>
    <row r="4" spans="1:27" ht="22.5">
      <c r="A4" s="262" t="s">
        <v>65</v>
      </c>
      <c r="B4" s="262"/>
      <c r="C4" s="262"/>
      <c r="D4" s="262"/>
      <c r="E4" s="262"/>
      <c r="F4" s="262"/>
      <c r="G4" s="262"/>
      <c r="H4" s="262"/>
      <c r="I4" s="262"/>
      <c r="J4" s="263"/>
      <c r="K4" s="263"/>
      <c r="L4" s="263"/>
      <c r="M4" s="263"/>
      <c r="N4" s="263"/>
      <c r="O4" s="263"/>
      <c r="P4" s="263"/>
      <c r="Q4" s="263"/>
    </row>
    <row r="5" spans="1:27" ht="15.75" customHeight="1">
      <c r="A5" s="83"/>
      <c r="B5" s="83"/>
      <c r="C5" s="267" t="str" cm="1">
        <f t="array" ref="C5:G5">'سود اوراق بهادار و سپرده بانکی'!H5:L5</f>
        <v>طی دی ماه</v>
      </c>
      <c r="D5" s="267">
        <v>0</v>
      </c>
      <c r="E5" s="267">
        <v>0</v>
      </c>
      <c r="F5" s="267">
        <v>0</v>
      </c>
      <c r="G5" s="267">
        <v>0</v>
      </c>
      <c r="H5" s="267"/>
      <c r="I5" s="267"/>
      <c r="J5" s="2"/>
      <c r="K5" s="267" t="str" cm="1">
        <f t="array" ref="K5:O5">'سود اوراق بهادار و سپرده بانکی'!N5:R5</f>
        <v>از ابتدای سال مالی تا پایان دی ماه</v>
      </c>
      <c r="L5" s="267">
        <v>0</v>
      </c>
      <c r="M5" s="267">
        <v>0</v>
      </c>
      <c r="N5" s="267">
        <v>0</v>
      </c>
      <c r="O5" s="267">
        <v>0</v>
      </c>
      <c r="P5" s="267"/>
      <c r="Q5" s="267"/>
      <c r="Z5" s="131"/>
      <c r="AA5" s="131"/>
    </row>
    <row r="6" spans="1:27" ht="22.5" thickBot="1">
      <c r="A6" s="127" t="s">
        <v>38</v>
      </c>
      <c r="B6" s="127"/>
      <c r="C6" s="128" t="s">
        <v>3</v>
      </c>
      <c r="D6" s="127"/>
      <c r="E6" s="50" t="s">
        <v>46</v>
      </c>
      <c r="F6" s="51"/>
      <c r="G6" s="52" t="s">
        <v>43</v>
      </c>
      <c r="H6" s="51"/>
      <c r="I6" s="32" t="s">
        <v>47</v>
      </c>
      <c r="J6" s="2"/>
      <c r="K6" s="30" t="s">
        <v>3</v>
      </c>
      <c r="L6" s="31"/>
      <c r="M6" s="32" t="s">
        <v>21</v>
      </c>
      <c r="N6" s="31"/>
      <c r="O6" s="30" t="s">
        <v>43</v>
      </c>
      <c r="P6" s="31"/>
      <c r="Q6" s="33" t="s">
        <v>47</v>
      </c>
      <c r="Z6" s="131"/>
      <c r="AA6" s="131"/>
    </row>
    <row r="7" spans="1:27" ht="21.75">
      <c r="A7" s="86" t="s">
        <v>118</v>
      </c>
      <c r="B7" s="127"/>
      <c r="C7" s="61">
        <f>IFERROR(VLOOKUP(A7,اوراق!A9:W12,22,0),0)</f>
        <v>2000</v>
      </c>
      <c r="D7" s="127"/>
      <c r="E7" s="61">
        <f>IFERROR(VLOOKUP(A7,اوراق!$A$9:$AG$12,23,0),0)</f>
        <v>1407259902</v>
      </c>
      <c r="F7" s="51"/>
      <c r="G7" s="53">
        <f>1387993707+255098</f>
        <v>1388248805</v>
      </c>
      <c r="H7" s="51"/>
      <c r="I7" s="53">
        <f>E7-G7</f>
        <v>19011097</v>
      </c>
      <c r="J7" s="2"/>
      <c r="K7" s="53">
        <v>3500</v>
      </c>
      <c r="L7" s="31"/>
      <c r="M7" s="53">
        <v>2450514804</v>
      </c>
      <c r="N7" s="31"/>
      <c r="O7" s="53">
        <f>2428991212+444196</f>
        <v>2429435408</v>
      </c>
      <c r="P7" s="31"/>
      <c r="Q7" s="53">
        <f>M7-O7</f>
        <v>21079396</v>
      </c>
      <c r="R7" s="102"/>
      <c r="T7" s="102"/>
      <c r="U7" s="102"/>
      <c r="X7" s="102"/>
      <c r="Z7" s="131"/>
      <c r="AA7" s="131"/>
    </row>
    <row r="8" spans="1:27" ht="21.75">
      <c r="A8" s="86" t="s">
        <v>127</v>
      </c>
      <c r="B8" s="127"/>
      <c r="C8" s="61">
        <f>IFERROR(VLOOKUP(A8,اوراق!A10:W13,22,0),0)</f>
        <v>1480</v>
      </c>
      <c r="D8" s="127"/>
      <c r="E8" s="61">
        <f>IFERROR(VLOOKUP(A8,اوراق!$A$9:$AG$12,23,0),0)</f>
        <v>1003492889</v>
      </c>
      <c r="F8" s="51"/>
      <c r="G8" s="53">
        <f>997507037+181911</f>
        <v>997688948</v>
      </c>
      <c r="H8" s="51"/>
      <c r="I8" s="53">
        <f>E8-G8</f>
        <v>5803941</v>
      </c>
      <c r="J8" s="2"/>
      <c r="K8" s="53">
        <v>1480</v>
      </c>
      <c r="L8" s="31"/>
      <c r="M8" s="53">
        <v>1003492889</v>
      </c>
      <c r="N8" s="31"/>
      <c r="O8" s="53">
        <f>997507037+181911</f>
        <v>997688948</v>
      </c>
      <c r="P8" s="31"/>
      <c r="Q8" s="53">
        <f t="shared" ref="Q8:Q28" si="0">M8-O8</f>
        <v>5803941</v>
      </c>
      <c r="R8" s="102"/>
      <c r="Z8" s="131"/>
      <c r="AA8" s="131"/>
    </row>
    <row r="9" spans="1:27" ht="21.75">
      <c r="A9" s="86" t="s">
        <v>124</v>
      </c>
      <c r="B9" s="127"/>
      <c r="C9" s="61">
        <f>IFERROR(VLOOKUP(A9,' سهام'!$A$10:$M$26,12,0),0)</f>
        <v>20919</v>
      </c>
      <c r="D9" s="127"/>
      <c r="E9" s="61">
        <f>IFERROR(VLOOKUP(A9,' سهام'!$A$10:$M$26,13,0),0)</f>
        <v>168046888</v>
      </c>
      <c r="F9" s="51"/>
      <c r="G9" s="53">
        <v>171390327</v>
      </c>
      <c r="H9" s="51"/>
      <c r="I9" s="53">
        <f>E9-G9</f>
        <v>-3343439</v>
      </c>
      <c r="J9" s="2"/>
      <c r="K9" s="53">
        <v>20919</v>
      </c>
      <c r="L9" s="31"/>
      <c r="M9" s="53">
        <v>168046888</v>
      </c>
      <c r="N9" s="31"/>
      <c r="O9" s="53">
        <v>171390327</v>
      </c>
      <c r="P9" s="31"/>
      <c r="Q9" s="53">
        <f t="shared" si="0"/>
        <v>-3343439</v>
      </c>
      <c r="R9" s="102"/>
    </row>
    <row r="10" spans="1:27" ht="21.75">
      <c r="A10" s="86" t="s">
        <v>102</v>
      </c>
      <c r="B10" s="127"/>
      <c r="C10" s="61">
        <f>IFERROR(VLOOKUP(A10,' سهام'!$A$10:$M$26,12,0),0)</f>
        <v>226961</v>
      </c>
      <c r="D10" s="127"/>
      <c r="E10" s="61">
        <f>IFERROR(VLOOKUP(A10,' سهام'!$A$10:$M$26,13,0),0)</f>
        <v>826127185</v>
      </c>
      <c r="F10" s="51"/>
      <c r="G10" s="53">
        <v>884619093</v>
      </c>
      <c r="H10" s="51"/>
      <c r="I10" s="53">
        <f t="shared" ref="I10:I29" si="1">E10-G10</f>
        <v>-58491908</v>
      </c>
      <c r="J10" s="2"/>
      <c r="K10" s="53">
        <v>1256965</v>
      </c>
      <c r="L10" s="31"/>
      <c r="M10" s="53">
        <v>4675731132</v>
      </c>
      <c r="N10" s="31"/>
      <c r="O10" s="53">
        <v>4899234838</v>
      </c>
      <c r="P10" s="31"/>
      <c r="Q10" s="53">
        <f t="shared" si="0"/>
        <v>-223503706</v>
      </c>
      <c r="R10" s="102"/>
    </row>
    <row r="11" spans="1:27" ht="21.75">
      <c r="A11" s="86" t="s">
        <v>110</v>
      </c>
      <c r="B11" s="127"/>
      <c r="C11" s="61">
        <f>IFERROR(VLOOKUP(A11,' سهام'!$A$10:$M$26,12,0),0)</f>
        <v>0</v>
      </c>
      <c r="D11" s="127"/>
      <c r="E11" s="61">
        <f>IFERROR(VLOOKUP(A11,' سهام'!$A$10:$M$26,13,0),0)</f>
        <v>0</v>
      </c>
      <c r="F11" s="51"/>
      <c r="G11" s="53">
        <v>0</v>
      </c>
      <c r="H11" s="51"/>
      <c r="I11" s="53">
        <f t="shared" si="1"/>
        <v>0</v>
      </c>
      <c r="J11" s="2"/>
      <c r="K11" s="53">
        <v>397342</v>
      </c>
      <c r="L11" s="31"/>
      <c r="M11" s="53">
        <v>5619181440</v>
      </c>
      <c r="N11" s="31"/>
      <c r="O11" s="53">
        <v>5383547622</v>
      </c>
      <c r="P11" s="31"/>
      <c r="Q11" s="53">
        <f t="shared" si="0"/>
        <v>235633818</v>
      </c>
      <c r="R11" s="102"/>
    </row>
    <row r="12" spans="1:27" ht="21.75">
      <c r="A12" s="86" t="s">
        <v>143</v>
      </c>
      <c r="B12" s="127"/>
      <c r="C12" s="61">
        <f>IFERROR(VLOOKUP(A12,' سهام'!$A$10:$M$26,12,0),0)</f>
        <v>7327</v>
      </c>
      <c r="D12" s="127"/>
      <c r="E12" s="61">
        <f>IFERROR(VLOOKUP(A12,' سهام'!$A$10:$M$26,13,0),0)</f>
        <v>97395723</v>
      </c>
      <c r="F12" s="51"/>
      <c r="G12" s="53">
        <v>98135747</v>
      </c>
      <c r="H12" s="51"/>
      <c r="I12" s="53">
        <f t="shared" si="1"/>
        <v>-740024</v>
      </c>
      <c r="J12" s="2"/>
      <c r="K12" s="53">
        <v>7327</v>
      </c>
      <c r="L12" s="31"/>
      <c r="M12" s="53">
        <v>97395723</v>
      </c>
      <c r="N12" s="31"/>
      <c r="O12" s="53">
        <v>98135747</v>
      </c>
      <c r="P12" s="31"/>
      <c r="Q12" s="53">
        <f t="shared" si="0"/>
        <v>-740024</v>
      </c>
      <c r="R12" s="102"/>
    </row>
    <row r="13" spans="1:27" ht="21.75">
      <c r="A13" s="86" t="s">
        <v>112</v>
      </c>
      <c r="B13" s="127"/>
      <c r="C13" s="61">
        <f>IFERROR(VLOOKUP(A13,' سهام'!$A$10:$M$26,12,0),0)</f>
        <v>21194</v>
      </c>
      <c r="D13" s="127"/>
      <c r="E13" s="61">
        <f>IFERROR(VLOOKUP(A13,' سهام'!$A$10:$M$26,13,0),0)</f>
        <v>368912366</v>
      </c>
      <c r="F13" s="51"/>
      <c r="G13" s="53">
        <v>306116526</v>
      </c>
      <c r="H13" s="51"/>
      <c r="I13" s="53">
        <f t="shared" si="1"/>
        <v>62795840</v>
      </c>
      <c r="J13" s="2"/>
      <c r="K13" s="53">
        <v>129873</v>
      </c>
      <c r="L13" s="31"/>
      <c r="M13" s="53">
        <v>2118824816</v>
      </c>
      <c r="N13" s="31"/>
      <c r="O13" s="53">
        <v>1875826717</v>
      </c>
      <c r="P13" s="31"/>
      <c r="Q13" s="53">
        <f t="shared" si="0"/>
        <v>242998099</v>
      </c>
      <c r="R13" s="102"/>
    </row>
    <row r="14" spans="1:27" ht="21.75">
      <c r="A14" s="86" t="s">
        <v>99</v>
      </c>
      <c r="B14" s="127"/>
      <c r="C14" s="61">
        <f>IFERROR(VLOOKUP(A14,' سهام'!$A$10:$M$26,12,0),0)</f>
        <v>16573</v>
      </c>
      <c r="D14" s="127"/>
      <c r="E14" s="61">
        <f>IFERROR(VLOOKUP(A14,' سهام'!$A$10:$M$26,13,0),0)</f>
        <v>700190585</v>
      </c>
      <c r="F14" s="51"/>
      <c r="G14" s="53">
        <v>724049469</v>
      </c>
      <c r="H14" s="51"/>
      <c r="I14" s="53">
        <f t="shared" si="1"/>
        <v>-23858884</v>
      </c>
      <c r="J14" s="2"/>
      <c r="K14" s="53">
        <v>50792</v>
      </c>
      <c r="L14" s="31"/>
      <c r="M14" s="53">
        <v>2088510424</v>
      </c>
      <c r="N14" s="31"/>
      <c r="O14" s="53">
        <v>2219026165</v>
      </c>
      <c r="P14" s="31"/>
      <c r="Q14" s="53">
        <f t="shared" si="0"/>
        <v>-130515741</v>
      </c>
      <c r="R14" s="102"/>
    </row>
    <row r="15" spans="1:27" ht="21.75">
      <c r="A15" s="86" t="s">
        <v>125</v>
      </c>
      <c r="B15" s="127"/>
      <c r="C15" s="61">
        <f>IFERROR(VLOOKUP(A15,' سهام'!$A$10:$M$26,12,0),0)</f>
        <v>29443</v>
      </c>
      <c r="D15" s="127"/>
      <c r="E15" s="61">
        <f>IFERROR(VLOOKUP(A15,' سهام'!$A$10:$M$26,13,0),0)</f>
        <v>194822669</v>
      </c>
      <c r="F15" s="51"/>
      <c r="G15" s="53">
        <v>320949162</v>
      </c>
      <c r="H15" s="51"/>
      <c r="I15" s="53">
        <f>E15-G15</f>
        <v>-126126493</v>
      </c>
      <c r="J15" s="2"/>
      <c r="K15" s="53">
        <v>29443</v>
      </c>
      <c r="L15" s="31"/>
      <c r="M15" s="53">
        <v>194822669</v>
      </c>
      <c r="N15" s="31"/>
      <c r="O15" s="53">
        <v>320949162</v>
      </c>
      <c r="P15" s="31"/>
      <c r="Q15" s="53">
        <f t="shared" si="0"/>
        <v>-126126493</v>
      </c>
      <c r="R15" s="102"/>
    </row>
    <row r="16" spans="1:27" ht="21.75">
      <c r="A16" s="86" t="s">
        <v>101</v>
      </c>
      <c r="B16" s="127"/>
      <c r="C16" s="61">
        <f>IFERROR(VLOOKUP(A16,' سهام'!$A$10:$M$26,12,0),0)</f>
        <v>36459</v>
      </c>
      <c r="D16" s="127"/>
      <c r="E16" s="61">
        <f>IFERROR(VLOOKUP(A16,' سهام'!$A$10:$M$26,13,0),0)</f>
        <v>696675589</v>
      </c>
      <c r="F16" s="51"/>
      <c r="G16" s="53">
        <v>679901213</v>
      </c>
      <c r="H16" s="51"/>
      <c r="I16" s="53">
        <f t="shared" si="1"/>
        <v>16774376</v>
      </c>
      <c r="J16" s="2"/>
      <c r="K16" s="53">
        <v>195766</v>
      </c>
      <c r="L16" s="31"/>
      <c r="M16" s="53">
        <v>3621595810</v>
      </c>
      <c r="N16" s="31"/>
      <c r="O16" s="53">
        <v>3650718367</v>
      </c>
      <c r="P16" s="31"/>
      <c r="Q16" s="53">
        <f t="shared" si="0"/>
        <v>-29122557</v>
      </c>
      <c r="R16" s="102"/>
    </row>
    <row r="17" spans="1:18" ht="21.75">
      <c r="A17" s="86" t="s">
        <v>115</v>
      </c>
      <c r="B17" s="127"/>
      <c r="C17" s="61">
        <f>IFERROR(VLOOKUP(A17,' سهام'!$A$10:$M$26,12,0),0)</f>
        <v>0</v>
      </c>
      <c r="D17" s="127"/>
      <c r="E17" s="61">
        <f>IFERROR(VLOOKUP(A17,' سهام'!$A$10:$M$26,13,0),0)</f>
        <v>0</v>
      </c>
      <c r="F17" s="51"/>
      <c r="G17" s="53">
        <v>0</v>
      </c>
      <c r="H17" s="51"/>
      <c r="I17" s="53">
        <f t="shared" si="1"/>
        <v>0</v>
      </c>
      <c r="J17" s="2"/>
      <c r="K17" s="53">
        <v>4559</v>
      </c>
      <c r="L17" s="31"/>
      <c r="M17" s="53">
        <v>111655142</v>
      </c>
      <c r="N17" s="31"/>
      <c r="O17" s="53">
        <v>119550839</v>
      </c>
      <c r="P17" s="31"/>
      <c r="Q17" s="53">
        <f t="shared" si="0"/>
        <v>-7895697</v>
      </c>
      <c r="R17" s="102"/>
    </row>
    <row r="18" spans="1:18" ht="21.75">
      <c r="A18" s="86" t="s">
        <v>98</v>
      </c>
      <c r="B18" s="127"/>
      <c r="C18" s="61">
        <f>IFERROR(VLOOKUP(A18,' سهام'!$A$10:$M$26,12,0),0)</f>
        <v>29250</v>
      </c>
      <c r="D18" s="127"/>
      <c r="E18" s="61">
        <f>IFERROR(VLOOKUP(A18,' سهام'!$A$10:$M$26,13,0),0)</f>
        <v>519028248</v>
      </c>
      <c r="F18" s="51"/>
      <c r="G18" s="53">
        <v>476210020</v>
      </c>
      <c r="H18" s="51"/>
      <c r="I18" s="53">
        <f t="shared" si="1"/>
        <v>42818228</v>
      </c>
      <c r="J18" s="2"/>
      <c r="K18" s="53">
        <v>255871</v>
      </c>
      <c r="L18" s="31"/>
      <c r="M18" s="53">
        <v>4000436943</v>
      </c>
      <c r="N18" s="31"/>
      <c r="O18" s="53">
        <v>3961177224</v>
      </c>
      <c r="P18" s="31"/>
      <c r="Q18" s="53">
        <f t="shared" si="0"/>
        <v>39259719</v>
      </c>
      <c r="R18" s="102"/>
    </row>
    <row r="19" spans="1:18" ht="21.75">
      <c r="A19" s="86" t="s">
        <v>96</v>
      </c>
      <c r="B19" s="127"/>
      <c r="C19" s="61">
        <f>IFERROR(VLOOKUP(A19,' سهام'!$A$10:$M$26,12,0),0)</f>
        <v>255845</v>
      </c>
      <c r="D19" s="127"/>
      <c r="E19" s="61">
        <f>IFERROR(VLOOKUP(A19,' سهام'!$A$10:$M$26,13,0),0)</f>
        <v>6077336695</v>
      </c>
      <c r="F19" s="51"/>
      <c r="G19" s="53">
        <v>5203442900</v>
      </c>
      <c r="H19" s="51"/>
      <c r="I19" s="53">
        <f t="shared" si="1"/>
        <v>873893795</v>
      </c>
      <c r="J19" s="2"/>
      <c r="K19" s="53">
        <v>550039</v>
      </c>
      <c r="L19" s="31"/>
      <c r="M19" s="53">
        <v>12354115059</v>
      </c>
      <c r="N19" s="31"/>
      <c r="O19" s="53">
        <v>11186837847</v>
      </c>
      <c r="P19" s="31"/>
      <c r="Q19" s="53">
        <f t="shared" si="0"/>
        <v>1167277212</v>
      </c>
      <c r="R19" s="102"/>
    </row>
    <row r="20" spans="1:18" ht="21.75">
      <c r="A20" s="86" t="s">
        <v>111</v>
      </c>
      <c r="B20" s="127"/>
      <c r="C20" s="61">
        <f>IFERROR(VLOOKUP(A20,' سهام'!$A$10:$M$26,12,0),0)</f>
        <v>1753</v>
      </c>
      <c r="D20" s="127"/>
      <c r="E20" s="61">
        <f>IFERROR(VLOOKUP(A20,' سهام'!$A$10:$M$26,13,0),0)</f>
        <v>46620085</v>
      </c>
      <c r="F20" s="51"/>
      <c r="G20" s="53">
        <v>37935741</v>
      </c>
      <c r="H20" s="51"/>
      <c r="I20" s="53">
        <f t="shared" si="1"/>
        <v>8684344</v>
      </c>
      <c r="J20" s="2"/>
      <c r="K20" s="53">
        <v>46954</v>
      </c>
      <c r="L20" s="31"/>
      <c r="M20" s="53">
        <v>1256185980</v>
      </c>
      <c r="N20" s="31"/>
      <c r="O20" s="53">
        <v>1016106560</v>
      </c>
      <c r="P20" s="31"/>
      <c r="Q20" s="53">
        <f t="shared" si="0"/>
        <v>240079420</v>
      </c>
      <c r="R20" s="102"/>
    </row>
    <row r="21" spans="1:18" ht="21.75">
      <c r="A21" s="86" t="s">
        <v>113</v>
      </c>
      <c r="B21" s="127"/>
      <c r="C21" s="61">
        <f>IFERROR(VLOOKUP(A21,' سهام'!$A$10:$M$26,12,0),0)</f>
        <v>0</v>
      </c>
      <c r="D21" s="127"/>
      <c r="E21" s="61">
        <f>IFERROR(VLOOKUP(A21,' سهام'!$A$10:$M$26,13,0),0)</f>
        <v>0</v>
      </c>
      <c r="F21" s="51"/>
      <c r="G21" s="53">
        <v>0</v>
      </c>
      <c r="H21" s="51"/>
      <c r="I21" s="53">
        <f t="shared" si="1"/>
        <v>0</v>
      </c>
      <c r="J21" s="2"/>
      <c r="K21" s="53">
        <v>7881</v>
      </c>
      <c r="L21" s="31"/>
      <c r="M21" s="53">
        <v>722013777</v>
      </c>
      <c r="N21" s="31"/>
      <c r="O21" s="53">
        <v>627198694</v>
      </c>
      <c r="P21" s="31"/>
      <c r="Q21" s="53">
        <f t="shared" si="0"/>
        <v>94815083</v>
      </c>
      <c r="R21" s="102"/>
    </row>
    <row r="22" spans="1:18" ht="21.75">
      <c r="A22" s="86" t="s">
        <v>108</v>
      </c>
      <c r="B22" s="127"/>
      <c r="C22" s="61">
        <f>IFERROR(VLOOKUP(A22,' سهام'!$A$10:$M$26,12,0),0)</f>
        <v>1933</v>
      </c>
      <c r="D22" s="127"/>
      <c r="E22" s="61">
        <f>IFERROR(VLOOKUP(A22,' سهام'!$A$10:$M$26,13,0),0)</f>
        <v>64678160</v>
      </c>
      <c r="F22" s="51"/>
      <c r="G22" s="53">
        <v>59755398</v>
      </c>
      <c r="H22" s="51"/>
      <c r="I22" s="53">
        <f t="shared" si="1"/>
        <v>4922762</v>
      </c>
      <c r="J22" s="2"/>
      <c r="K22" s="53">
        <v>18903</v>
      </c>
      <c r="L22" s="31"/>
      <c r="M22" s="53">
        <v>591514584</v>
      </c>
      <c r="N22" s="31"/>
      <c r="O22" s="53">
        <v>522472852</v>
      </c>
      <c r="P22" s="31"/>
      <c r="Q22" s="53">
        <f t="shared" si="0"/>
        <v>69041732</v>
      </c>
      <c r="R22" s="102"/>
    </row>
    <row r="23" spans="1:18" ht="21.75">
      <c r="A23" s="86" t="s">
        <v>114</v>
      </c>
      <c r="B23" s="127"/>
      <c r="C23" s="61">
        <f>IFERROR(VLOOKUP(A23,' سهام'!$A$10:$M$26,12,0),0)</f>
        <v>1758</v>
      </c>
      <c r="D23" s="127"/>
      <c r="E23" s="61">
        <f>IFERROR(VLOOKUP(A23,' سهام'!$A$10:$M$26,13,0),0)</f>
        <v>47537654</v>
      </c>
      <c r="F23" s="51"/>
      <c r="G23" s="53">
        <v>40228369</v>
      </c>
      <c r="H23" s="51"/>
      <c r="I23" s="53">
        <f t="shared" si="1"/>
        <v>7309285</v>
      </c>
      <c r="J23" s="2"/>
      <c r="K23" s="53">
        <v>42202</v>
      </c>
      <c r="L23" s="31"/>
      <c r="M23" s="53">
        <v>1033189702</v>
      </c>
      <c r="N23" s="31"/>
      <c r="O23" s="53">
        <v>965709676</v>
      </c>
      <c r="P23" s="31"/>
      <c r="Q23" s="53">
        <f t="shared" si="0"/>
        <v>67480026</v>
      </c>
      <c r="R23" s="102"/>
    </row>
    <row r="24" spans="1:18" ht="21.75">
      <c r="A24" s="86" t="s">
        <v>109</v>
      </c>
      <c r="B24" s="127"/>
      <c r="C24" s="61">
        <f>IFERROR(VLOOKUP(A24,' سهام'!$A$10:$M$26,12,0),0)</f>
        <v>200000</v>
      </c>
      <c r="D24" s="127"/>
      <c r="E24" s="61">
        <f>IFERROR(VLOOKUP(A24,' سهام'!$A$10:$M$26,13,0),0)</f>
        <v>1083514507</v>
      </c>
      <c r="F24" s="51"/>
      <c r="G24" s="53">
        <v>962041590</v>
      </c>
      <c r="H24" s="51"/>
      <c r="I24" s="53">
        <f t="shared" si="1"/>
        <v>121472917</v>
      </c>
      <c r="J24" s="2"/>
      <c r="K24" s="53">
        <v>2200000</v>
      </c>
      <c r="L24" s="31"/>
      <c r="M24" s="53">
        <v>14234796931</v>
      </c>
      <c r="N24" s="31"/>
      <c r="O24" s="53">
        <v>10582457509</v>
      </c>
      <c r="P24" s="31"/>
      <c r="Q24" s="53">
        <f t="shared" si="0"/>
        <v>3652339422</v>
      </c>
      <c r="R24" s="102"/>
    </row>
    <row r="25" spans="1:18" ht="21.75">
      <c r="A25" s="86" t="s">
        <v>97</v>
      </c>
      <c r="B25" s="127"/>
      <c r="C25" s="61">
        <f>IFERROR(VLOOKUP(A25,' سهام'!$A$10:$M$26,12,0),0)</f>
        <v>6714</v>
      </c>
      <c r="D25" s="127"/>
      <c r="E25" s="61">
        <f>IFERROR(VLOOKUP(A25,' سهام'!$A$10:$M$26,13,0),0)</f>
        <v>122894214</v>
      </c>
      <c r="F25" s="51"/>
      <c r="G25" s="53">
        <v>126540021</v>
      </c>
      <c r="H25" s="51"/>
      <c r="I25" s="53">
        <f t="shared" si="1"/>
        <v>-3645807</v>
      </c>
      <c r="J25" s="2"/>
      <c r="K25" s="53">
        <v>162031</v>
      </c>
      <c r="L25" s="31"/>
      <c r="M25" s="53">
        <v>2827021997</v>
      </c>
      <c r="N25" s="31"/>
      <c r="O25" s="53">
        <v>3053828722</v>
      </c>
      <c r="P25" s="31"/>
      <c r="Q25" s="53">
        <f t="shared" si="0"/>
        <v>-226806725</v>
      </c>
      <c r="R25" s="102"/>
    </row>
    <row r="26" spans="1:18" ht="21.75">
      <c r="A26" s="86" t="s">
        <v>95</v>
      </c>
      <c r="B26" s="127"/>
      <c r="C26" s="61">
        <f>IFERROR(VLOOKUP(A26,' سهام'!$A$10:$M$26,12,0),0)</f>
        <v>221660</v>
      </c>
      <c r="D26" s="127"/>
      <c r="E26" s="61">
        <f>IFERROR(VLOOKUP(A26,' سهام'!$A$10:$M$26,13,0),0)</f>
        <v>2711143319</v>
      </c>
      <c r="F26" s="51"/>
      <c r="G26" s="53">
        <v>2315785203</v>
      </c>
      <c r="H26" s="51"/>
      <c r="I26" s="53">
        <f t="shared" si="1"/>
        <v>395358116</v>
      </c>
      <c r="J26" s="2"/>
      <c r="K26" s="53">
        <v>987662</v>
      </c>
      <c r="L26" s="31"/>
      <c r="M26" s="53">
        <v>11254265565</v>
      </c>
      <c r="N26" s="31"/>
      <c r="O26" s="53">
        <v>10318564673</v>
      </c>
      <c r="P26" s="31"/>
      <c r="Q26" s="53">
        <f t="shared" si="0"/>
        <v>935700892</v>
      </c>
      <c r="R26" s="102"/>
    </row>
    <row r="27" spans="1:18" ht="21.75">
      <c r="A27" s="86" t="s">
        <v>126</v>
      </c>
      <c r="B27" s="127"/>
      <c r="C27" s="61">
        <f>IFERROR(VLOOKUP(A27,' سهام'!$A$10:$M$26,12,0),0)</f>
        <v>72758</v>
      </c>
      <c r="D27" s="127"/>
      <c r="E27" s="61">
        <f>IFERROR(VLOOKUP(A27,' سهام'!$A$10:$M$26,13,0),0)</f>
        <v>245207560</v>
      </c>
      <c r="F27" s="51"/>
      <c r="G27" s="53">
        <v>222038026</v>
      </c>
      <c r="H27" s="51"/>
      <c r="I27" s="53">
        <f t="shared" si="1"/>
        <v>23169534</v>
      </c>
      <c r="J27" s="2"/>
      <c r="K27" s="53">
        <v>84151</v>
      </c>
      <c r="L27" s="31"/>
      <c r="M27" s="53">
        <v>279454533</v>
      </c>
      <c r="N27" s="31"/>
      <c r="O27" s="53">
        <v>256806425</v>
      </c>
      <c r="P27" s="31"/>
      <c r="Q27" s="53">
        <f t="shared" si="0"/>
        <v>22648108</v>
      </c>
      <c r="R27" s="102"/>
    </row>
    <row r="28" spans="1:18" ht="21.75">
      <c r="A28" s="86" t="s">
        <v>100</v>
      </c>
      <c r="B28" s="127"/>
      <c r="C28" s="61">
        <f>IFERROR(VLOOKUP(A28,' سهام'!$A$10:$M$26,12,0),0)</f>
        <v>13008</v>
      </c>
      <c r="D28" s="127"/>
      <c r="E28" s="61">
        <f>IFERROR(VLOOKUP(A28,' سهام'!$A$10:$M$26,13,0),0)</f>
        <v>103735834</v>
      </c>
      <c r="F28" s="51"/>
      <c r="G28" s="53">
        <v>37345072</v>
      </c>
      <c r="H28" s="51"/>
      <c r="I28" s="53">
        <f t="shared" si="1"/>
        <v>66390762</v>
      </c>
      <c r="J28" s="2"/>
      <c r="K28" s="53">
        <v>28227</v>
      </c>
      <c r="L28" s="31"/>
      <c r="M28" s="53">
        <v>455937336</v>
      </c>
      <c r="N28" s="31"/>
      <c r="O28" s="53">
        <v>412833125</v>
      </c>
      <c r="P28" s="31"/>
      <c r="Q28" s="53">
        <f t="shared" si="0"/>
        <v>43104211</v>
      </c>
      <c r="R28" s="102"/>
    </row>
    <row r="29" spans="1:18" ht="21.75">
      <c r="A29" s="86" t="s">
        <v>116</v>
      </c>
      <c r="B29" s="127"/>
      <c r="C29" s="61">
        <f>IFERROR(VLOOKUP(A29,' سهام'!$A$10:$M$26,12,0),0)</f>
        <v>0</v>
      </c>
      <c r="D29" s="127"/>
      <c r="E29" s="61">
        <f>IFERROR(VLOOKUP(A29,' سهام'!$A$10:$M$26,13,0),0)</f>
        <v>0</v>
      </c>
      <c r="F29" s="51"/>
      <c r="G29" s="53">
        <v>0</v>
      </c>
      <c r="H29" s="51"/>
      <c r="I29" s="53">
        <f t="shared" si="1"/>
        <v>0</v>
      </c>
      <c r="J29" s="2"/>
      <c r="K29" s="53">
        <v>5650000</v>
      </c>
      <c r="L29" s="31"/>
      <c r="M29" s="53">
        <v>30879904020</v>
      </c>
      <c r="N29" s="31"/>
      <c r="O29" s="53">
        <v>30272301675</v>
      </c>
      <c r="P29" s="31"/>
      <c r="Q29" s="53">
        <f>M29-O29</f>
        <v>607602345</v>
      </c>
      <c r="R29" s="102"/>
    </row>
    <row r="30" spans="1:18" ht="22.5" thickBot="1">
      <c r="A30" s="61" t="s">
        <v>2</v>
      </c>
      <c r="B30" s="61"/>
      <c r="C30" s="61"/>
      <c r="E30" s="301">
        <f>SUM(E7:E29)</f>
        <v>16484620072</v>
      </c>
      <c r="F30" s="17"/>
      <c r="G30" s="191">
        <f>SUM(G7:G29)</f>
        <v>15052421630</v>
      </c>
      <c r="H30" s="17"/>
      <c r="I30" s="191">
        <f>SUM(I7:I29)</f>
        <v>1432198442</v>
      </c>
      <c r="J30" s="184"/>
      <c r="K30" s="53"/>
      <c r="L30" s="192"/>
      <c r="M30" s="191">
        <f>SUM(M7:M29)</f>
        <v>102038608164</v>
      </c>
      <c r="N30" s="17"/>
      <c r="O30" s="191">
        <f>SUM(O7:O29)</f>
        <v>95341799122</v>
      </c>
      <c r="P30" s="193"/>
      <c r="Q30" s="191">
        <f>SUM(Q7:Q29)</f>
        <v>6696809042</v>
      </c>
    </row>
    <row r="31" spans="1:18" ht="23.25" thickTop="1">
      <c r="E31" s="54"/>
      <c r="F31" s="86"/>
      <c r="G31" s="54"/>
      <c r="H31" s="54"/>
      <c r="I31" s="54"/>
      <c r="J31" s="86"/>
      <c r="K31" s="86"/>
      <c r="L31" s="86"/>
      <c r="M31" s="56"/>
      <c r="N31" s="86"/>
      <c r="O31" s="56"/>
      <c r="P31" s="86"/>
      <c r="Q31" s="56"/>
    </row>
    <row r="32" spans="1:18" ht="22.5">
      <c r="E32" s="54"/>
      <c r="F32" s="86"/>
      <c r="G32" s="54"/>
      <c r="H32" s="86"/>
      <c r="I32" s="54"/>
      <c r="J32" s="86"/>
      <c r="K32" s="86"/>
      <c r="L32" s="86"/>
      <c r="M32" s="54"/>
      <c r="N32" s="86"/>
      <c r="O32" s="54"/>
      <c r="P32" s="86"/>
      <c r="Q32" s="54"/>
    </row>
    <row r="33" spans="1:20" ht="10.5" customHeight="1">
      <c r="A33" s="83"/>
      <c r="B33" s="83"/>
      <c r="C33" s="83"/>
      <c r="D33" s="83"/>
      <c r="E33" s="49"/>
      <c r="F33" s="49"/>
      <c r="G33" s="49"/>
      <c r="H33" s="49"/>
      <c r="I33" s="2"/>
      <c r="J33" s="2"/>
      <c r="K33" s="2"/>
      <c r="L33" s="2"/>
      <c r="M33" s="2"/>
      <c r="N33" s="2"/>
      <c r="O33" s="2"/>
      <c r="P33" s="2"/>
      <c r="Q33" s="2"/>
    </row>
    <row r="34" spans="1:20" ht="21.75">
      <c r="A34" s="264" t="s">
        <v>45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6"/>
    </row>
    <row r="35" spans="1:20" ht="6" customHeight="1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20" ht="18" customHeight="1">
      <c r="A36" s="130"/>
      <c r="B36" s="130"/>
      <c r="C36" s="200"/>
      <c r="D36" s="130"/>
      <c r="E36" s="102"/>
      <c r="F36" s="86"/>
      <c r="G36" s="86"/>
      <c r="H36" s="86"/>
      <c r="I36" s="131"/>
      <c r="J36" s="86"/>
      <c r="K36" s="131"/>
      <c r="L36" s="86"/>
      <c r="M36" s="131"/>
      <c r="N36" s="86"/>
      <c r="O36" s="86"/>
      <c r="P36" s="86"/>
      <c r="Q36" s="69"/>
    </row>
    <row r="37" spans="1:20" ht="27">
      <c r="C37" s="102"/>
      <c r="E37" s="167"/>
      <c r="F37" s="86"/>
      <c r="G37" s="86"/>
      <c r="H37" s="86"/>
      <c r="I37" s="37"/>
      <c r="J37" s="86"/>
      <c r="K37" s="102"/>
      <c r="L37" s="86"/>
      <c r="M37" s="190"/>
      <c r="N37" s="86"/>
      <c r="O37" s="86"/>
      <c r="P37" s="86"/>
      <c r="Q37" s="37"/>
    </row>
    <row r="38" spans="1:20" s="37" customFormat="1" ht="24"/>
    <row r="39" spans="1:20" s="37" customFormat="1" ht="24">
      <c r="E39" s="299"/>
    </row>
    <row r="40" spans="1:20" s="37" customFormat="1" ht="24">
      <c r="E40" s="299"/>
    </row>
    <row r="41" spans="1:20" s="37" customFormat="1" ht="24">
      <c r="E41" s="299"/>
      <c r="R41" s="69"/>
    </row>
    <row r="42" spans="1:20" s="37" customFormat="1" ht="24">
      <c r="R42" s="69"/>
      <c r="T42" s="299"/>
    </row>
    <row r="43" spans="1:20" s="37" customFormat="1" ht="24">
      <c r="R43" s="69"/>
      <c r="T43" s="299"/>
    </row>
    <row r="44" spans="1:20" ht="18" thickBot="1">
      <c r="E44" s="86"/>
      <c r="F44" s="86"/>
      <c r="G44" s="86"/>
      <c r="H44" s="86"/>
      <c r="I44" s="102"/>
      <c r="J44" s="86"/>
      <c r="K44" s="86"/>
      <c r="L44" s="86"/>
      <c r="M44" s="86"/>
      <c r="N44" s="86"/>
      <c r="O44" s="86"/>
      <c r="P44" s="86"/>
      <c r="Q44" s="299"/>
      <c r="R44" s="69"/>
      <c r="T44" s="299"/>
    </row>
    <row r="45" spans="1:20" ht="18" thickBot="1">
      <c r="I45" s="302"/>
      <c r="Q45" s="299"/>
      <c r="R45" s="69"/>
    </row>
    <row r="46" spans="1:20">
      <c r="I46" s="299"/>
      <c r="Q46" s="299"/>
      <c r="R46" s="131"/>
      <c r="T46" s="131"/>
    </row>
    <row r="47" spans="1:20" ht="24">
      <c r="I47" s="299"/>
      <c r="Q47" s="37"/>
      <c r="R47" s="213"/>
    </row>
  </sheetData>
  <autoFilter ref="A6:Q6" xr:uid="{00000000-0009-0000-0000-000007000000}">
    <sortState xmlns:xlrd2="http://schemas.microsoft.com/office/spreadsheetml/2017/richdata2" ref="A7:Q20">
      <sortCondition ref="A6"/>
    </sortState>
  </autoFilter>
  <sortState xmlns:xlrd2="http://schemas.microsoft.com/office/spreadsheetml/2017/richdata2" ref="T7:U40">
    <sortCondition descending="1" ref="T6:T40"/>
  </sortState>
  <mergeCells count="8">
    <mergeCell ref="A1:Q1"/>
    <mergeCell ref="A2:Q2"/>
    <mergeCell ref="A3:Q3"/>
    <mergeCell ref="A34:Q34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7" fitToHeight="0" orientation="landscape" r:id="rId1"/>
  <rowBreaks count="1" manualBreakCount="1">
    <brk id="35" max="15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Y45"/>
  <sheetViews>
    <sheetView rightToLeft="1" view="pageBreakPreview" zoomScale="70" zoomScaleNormal="100" zoomScaleSheetLayoutView="70" workbookViewId="0">
      <selection activeCell="S19" sqref="S19"/>
    </sheetView>
  </sheetViews>
  <sheetFormatPr defaultColWidth="9.140625" defaultRowHeight="21.75"/>
  <cols>
    <col min="1" max="1" width="33.5703125" style="86" customWidth="1"/>
    <col min="2" max="2" width="0.5703125" style="86" customWidth="1"/>
    <col min="3" max="3" width="20.28515625" style="2" bestFit="1" customWidth="1"/>
    <col min="4" max="4" width="0.85546875" style="2" customWidth="1"/>
    <col min="5" max="5" width="25.7109375" style="2" bestFit="1" customWidth="1"/>
    <col min="6" max="6" width="0.85546875" style="2" customWidth="1"/>
    <col min="7" max="7" width="25.7109375" style="2" bestFit="1" customWidth="1"/>
    <col min="8" max="8" width="0.7109375" style="2" customWidth="1"/>
    <col min="9" max="9" width="25.140625" style="2" customWidth="1"/>
    <col min="10" max="10" width="1.42578125" style="2" customWidth="1"/>
    <col min="11" max="11" width="17.7109375" style="2" bestFit="1" customWidth="1"/>
    <col min="12" max="12" width="1.140625" style="2" customWidth="1"/>
    <col min="13" max="13" width="25.7109375" style="2" bestFit="1" customWidth="1"/>
    <col min="14" max="14" width="1" style="2" customWidth="1"/>
    <col min="15" max="15" width="25.7109375" style="2" bestFit="1" customWidth="1"/>
    <col min="16" max="16" width="1.140625" style="2" customWidth="1"/>
    <col min="17" max="17" width="25.7109375" style="2" bestFit="1" customWidth="1"/>
    <col min="18" max="18" width="10" style="86" bestFit="1" customWidth="1"/>
    <col min="19" max="19" width="17" style="86" bestFit="1" customWidth="1"/>
    <col min="20" max="20" width="13.140625" style="86" customWidth="1"/>
    <col min="21" max="21" width="15.5703125" style="19" bestFit="1" customWidth="1"/>
    <col min="22" max="22" width="14.42578125" style="86" bestFit="1" customWidth="1"/>
    <col min="23" max="23" width="13" style="86" bestFit="1" customWidth="1"/>
    <col min="24" max="24" width="13.140625" style="86" bestFit="1" customWidth="1"/>
    <col min="25" max="25" width="14.28515625" style="86" bestFit="1" customWidth="1"/>
    <col min="26" max="16384" width="9.140625" style="86"/>
  </cols>
  <sheetData>
    <row r="1" spans="1:25" ht="22.5">
      <c r="A1" s="261" t="s">
        <v>94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25" ht="22.5">
      <c r="A2" s="261" t="s">
        <v>57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</row>
    <row r="3" spans="1:25" ht="22.5">
      <c r="A3" s="261" t="str">
        <f>' سهام'!A3:W3</f>
        <v>برای ماه منتهی به 1402/10/30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</row>
    <row r="4" spans="1:25">
      <c r="A4" s="249" t="s">
        <v>64</v>
      </c>
      <c r="B4" s="249"/>
      <c r="C4" s="249"/>
      <c r="D4" s="249"/>
      <c r="E4" s="249"/>
      <c r="F4" s="249"/>
      <c r="G4" s="249"/>
      <c r="H4" s="249"/>
    </row>
    <row r="5" spans="1:25" ht="21" customHeight="1">
      <c r="A5" s="72"/>
      <c r="B5" s="72"/>
      <c r="C5" s="271" t="str" cm="1">
        <f t="array" ref="C5:G5">'سود اوراق بهادار و سپرده بانکی'!H5:L5</f>
        <v>طی دی ماه</v>
      </c>
      <c r="D5" s="271">
        <v>0</v>
      </c>
      <c r="E5" s="271">
        <v>0</v>
      </c>
      <c r="F5" s="271">
        <v>0</v>
      </c>
      <c r="G5" s="271">
        <v>0</v>
      </c>
      <c r="H5" s="271"/>
      <c r="I5" s="271"/>
      <c r="K5" s="271" t="str" cm="1">
        <f t="array" ref="K5:O5">'سود اوراق بهادار و سپرده بانکی'!N5:R5</f>
        <v>از ابتدای سال مالی تا پایان دی ماه</v>
      </c>
      <c r="L5" s="271">
        <v>0</v>
      </c>
      <c r="M5" s="271">
        <v>0</v>
      </c>
      <c r="N5" s="271">
        <v>0</v>
      </c>
      <c r="O5" s="271">
        <v>0</v>
      </c>
      <c r="P5" s="271"/>
      <c r="Q5" s="271"/>
    </row>
    <row r="6" spans="1:25" ht="27" customHeight="1" thickBot="1">
      <c r="A6" s="92" t="s">
        <v>38</v>
      </c>
      <c r="B6" s="92"/>
      <c r="C6" s="30" t="s">
        <v>3</v>
      </c>
      <c r="D6" s="31"/>
      <c r="E6" s="32" t="s">
        <v>21</v>
      </c>
      <c r="F6" s="31"/>
      <c r="G6" s="30" t="s">
        <v>43</v>
      </c>
      <c r="H6" s="31"/>
      <c r="I6" s="33" t="s">
        <v>44</v>
      </c>
      <c r="K6" s="30" t="s">
        <v>3</v>
      </c>
      <c r="L6" s="31"/>
      <c r="M6" s="32" t="s">
        <v>21</v>
      </c>
      <c r="N6" s="31"/>
      <c r="O6" s="30" t="s">
        <v>43</v>
      </c>
      <c r="P6" s="31"/>
      <c r="Q6" s="33" t="s">
        <v>44</v>
      </c>
    </row>
    <row r="7" spans="1:25">
      <c r="A7" s="132" t="s">
        <v>118</v>
      </c>
      <c r="C7" s="17">
        <f>VLOOKUP(A7,اوراق!$A$9:$AE$12,25,0)</f>
        <v>3000</v>
      </c>
      <c r="D7" s="17"/>
      <c r="E7" s="17">
        <f>VLOOKUP(A7,اوراق!$A$9:$AE$12,31,0)</f>
        <v>2090141094</v>
      </c>
      <c r="F7" s="17" t="s">
        <v>137</v>
      </c>
      <c r="G7" s="17">
        <v>2115366052</v>
      </c>
      <c r="H7" s="17"/>
      <c r="I7" s="17">
        <f>E7-G7</f>
        <v>-25224958</v>
      </c>
      <c r="J7" s="17"/>
      <c r="K7" s="17">
        <f>VLOOKUP(A7,اوراق!$A$9:$AE$12,25,0)</f>
        <v>3000</v>
      </c>
      <c r="L7" s="17"/>
      <c r="M7" s="17">
        <f>VLOOKUP(A7,اوراق!$A$9:$AE$12,31,0)</f>
        <v>2090141094</v>
      </c>
      <c r="N7" s="17"/>
      <c r="O7" s="17">
        <v>2082373207</v>
      </c>
      <c r="P7" s="17"/>
      <c r="Q7" s="17">
        <f>M7-O7</f>
        <v>7767887</v>
      </c>
      <c r="R7" s="102"/>
      <c r="S7" s="194"/>
      <c r="T7" s="102"/>
      <c r="V7" s="19"/>
      <c r="W7" s="102"/>
      <c r="X7" s="102"/>
      <c r="Y7" s="102"/>
    </row>
    <row r="8" spans="1:25">
      <c r="A8" s="132" t="s">
        <v>127</v>
      </c>
      <c r="C8" s="17">
        <f>VLOOKUP(A8,اوراق!$A$9:$AE$12,25,0)</f>
        <v>28120</v>
      </c>
      <c r="D8" s="17"/>
      <c r="E8" s="17">
        <f>VLOOKUP(A8,اوراق!$A$9:$AE$12,31,0)</f>
        <v>18855259867</v>
      </c>
      <c r="F8" s="17"/>
      <c r="G8" s="17">
        <v>18986088337</v>
      </c>
      <c r="H8" s="17"/>
      <c r="I8" s="17">
        <f t="shared" ref="I8:I27" si="0">E8-G8</f>
        <v>-130828470</v>
      </c>
      <c r="J8" s="17"/>
      <c r="K8" s="17">
        <f>VLOOKUP(A8,اوراق!$A$9:$AE$12,25,0)</f>
        <v>28120</v>
      </c>
      <c r="L8" s="17"/>
      <c r="M8" s="17">
        <f>VLOOKUP(A8,اوراق!$A$9:$AE$12,31,0)</f>
        <v>18855259867</v>
      </c>
      <c r="N8" s="17"/>
      <c r="O8" s="17">
        <v>18956090015</v>
      </c>
      <c r="P8" s="17"/>
      <c r="Q8" s="17">
        <f t="shared" ref="Q8:Q27" si="1">M8-O8</f>
        <v>-100830148</v>
      </c>
      <c r="R8" s="102"/>
      <c r="S8" s="194"/>
      <c r="T8" s="102"/>
      <c r="V8" s="19"/>
      <c r="W8" s="102"/>
      <c r="X8" s="102"/>
      <c r="Y8" s="102"/>
    </row>
    <row r="9" spans="1:25">
      <c r="A9" s="132" t="s">
        <v>129</v>
      </c>
      <c r="C9" s="17">
        <f>VLOOKUP(A9,اوراق!$A$9:$AE$12,25,0)</f>
        <v>27300</v>
      </c>
      <c r="D9" s="17"/>
      <c r="E9" s="17">
        <f>VLOOKUP(A9,اوراق!$A$9:$AE$12,31,0)</f>
        <v>14662628918</v>
      </c>
      <c r="F9" s="17"/>
      <c r="G9" s="17">
        <v>14998085105</v>
      </c>
      <c r="H9" s="17"/>
      <c r="I9" s="17">
        <f t="shared" si="0"/>
        <v>-335456187</v>
      </c>
      <c r="J9" s="17"/>
      <c r="K9" s="17">
        <f>VLOOKUP(A9,اوراق!$A$9:$AE$12,25,0)</f>
        <v>27300</v>
      </c>
      <c r="L9" s="17"/>
      <c r="M9" s="17">
        <f>VLOOKUP(A9,اوراق!$A$9:$AE$12,31,0)</f>
        <v>14662628918</v>
      </c>
      <c r="N9" s="17"/>
      <c r="O9" s="17">
        <v>14976399978</v>
      </c>
      <c r="P9" s="17"/>
      <c r="Q9" s="17">
        <f t="shared" si="1"/>
        <v>-313771060</v>
      </c>
      <c r="R9" s="102"/>
      <c r="S9" s="194"/>
      <c r="T9" s="102"/>
      <c r="V9" s="19"/>
      <c r="W9" s="102"/>
      <c r="X9" s="102"/>
      <c r="Y9" s="102"/>
    </row>
    <row r="10" spans="1:25">
      <c r="A10" s="132" t="s">
        <v>128</v>
      </c>
      <c r="C10" s="17">
        <f>VLOOKUP(A10,اوراق!$A$9:$AE$12,25,0)</f>
        <v>29100</v>
      </c>
      <c r="D10" s="17"/>
      <c r="E10" s="17">
        <f>VLOOKUP(A10,اوراق!$A$9:$AE$12,31,0)</f>
        <v>18768716556</v>
      </c>
      <c r="F10" s="17"/>
      <c r="G10" s="17">
        <v>18930774177</v>
      </c>
      <c r="H10" s="17"/>
      <c r="I10" s="17">
        <f t="shared" si="0"/>
        <v>-162057621</v>
      </c>
      <c r="J10" s="17"/>
      <c r="K10" s="17">
        <f>VLOOKUP(A10,اوراق!$A$9:$AE$12,25,0)</f>
        <v>29100</v>
      </c>
      <c r="L10" s="17"/>
      <c r="M10" s="17">
        <f>VLOOKUP(A10,اوراق!$A$9:$AE$12,31,0)</f>
        <v>18768716556</v>
      </c>
      <c r="N10" s="17"/>
      <c r="O10" s="17">
        <v>18932887958</v>
      </c>
      <c r="P10" s="17"/>
      <c r="Q10" s="17">
        <f t="shared" si="1"/>
        <v>-164171402</v>
      </c>
      <c r="R10" s="102"/>
      <c r="S10" s="194"/>
      <c r="T10" s="102"/>
      <c r="V10" s="19"/>
      <c r="W10" s="102"/>
      <c r="X10" s="102"/>
      <c r="Y10" s="102"/>
    </row>
    <row r="11" spans="1:25">
      <c r="A11" s="132" t="s">
        <v>124</v>
      </c>
      <c r="C11" s="17">
        <f>VLOOKUP(A11,' سهام'!$A$10:$U$26,15,0)</f>
        <v>449038</v>
      </c>
      <c r="D11" s="17"/>
      <c r="E11" s="17">
        <f>VLOOKUP(A11,' سهام'!$A$10:$U$26,21,0)</f>
        <v>3615566416</v>
      </c>
      <c r="F11" s="17"/>
      <c r="G11" s="17">
        <v>3621213603</v>
      </c>
      <c r="H11" s="17"/>
      <c r="I11" s="17">
        <f t="shared" si="0"/>
        <v>-5647187</v>
      </c>
      <c r="J11" s="17"/>
      <c r="K11" s="17">
        <f>VLOOKUP(A11,' سهام'!$A$10:$U$26,15,0)</f>
        <v>449038</v>
      </c>
      <c r="L11" s="17"/>
      <c r="M11" s="17">
        <f>VLOOKUP(A11,' سهام'!$A$10:$U$26,21,0)</f>
        <v>3615566416</v>
      </c>
      <c r="N11" s="17"/>
      <c r="O11" s="17">
        <v>3678988931</v>
      </c>
      <c r="P11" s="17"/>
      <c r="Q11" s="17">
        <f t="shared" si="1"/>
        <v>-63422515</v>
      </c>
      <c r="R11" s="102"/>
      <c r="S11" s="194"/>
      <c r="T11" s="102"/>
      <c r="V11" s="19"/>
      <c r="W11" s="102"/>
      <c r="X11" s="102"/>
      <c r="Y11" s="102"/>
    </row>
    <row r="12" spans="1:25">
      <c r="A12" s="132" t="s">
        <v>102</v>
      </c>
      <c r="C12" s="17">
        <f>VLOOKUP(A12,' سهام'!$A$10:$U$26,15,0)</f>
        <v>1588537</v>
      </c>
      <c r="D12" s="17"/>
      <c r="E12" s="17">
        <f>VLOOKUP(A12,' سهام'!$A$10:$U$26,21,0)</f>
        <v>5752607404</v>
      </c>
      <c r="F12" s="17"/>
      <c r="G12" s="17">
        <v>5825239846</v>
      </c>
      <c r="H12" s="17"/>
      <c r="I12" s="17">
        <f t="shared" si="0"/>
        <v>-72632442</v>
      </c>
      <c r="J12" s="17"/>
      <c r="K12" s="17">
        <f>VLOOKUP(A12,' سهام'!$A$10:$U$26,15,0)</f>
        <v>1588537</v>
      </c>
      <c r="L12" s="17"/>
      <c r="M12" s="17">
        <f>VLOOKUP(A12,' سهام'!$A$10:$U$26,21,0)</f>
        <v>5752607404</v>
      </c>
      <c r="N12" s="17"/>
      <c r="O12" s="17">
        <v>6191593088</v>
      </c>
      <c r="P12" s="17"/>
      <c r="Q12" s="17">
        <f t="shared" si="1"/>
        <v>-438985684</v>
      </c>
      <c r="R12" s="102"/>
      <c r="S12" s="194"/>
      <c r="T12" s="102"/>
      <c r="V12" s="19"/>
      <c r="W12" s="102"/>
      <c r="X12" s="102"/>
      <c r="Y12" s="102"/>
    </row>
    <row r="13" spans="1:25">
      <c r="A13" s="132" t="s">
        <v>143</v>
      </c>
      <c r="C13" s="17">
        <f>VLOOKUP(A13,' سهام'!$A$10:$U$26,15,0)</f>
        <v>193439</v>
      </c>
      <c r="D13" s="17"/>
      <c r="E13" s="17">
        <f>VLOOKUP(A13,' سهام'!$A$10:$U$26,21,0)</f>
        <v>2645883405</v>
      </c>
      <c r="F13" s="17"/>
      <c r="G13" s="17">
        <v>2590866758</v>
      </c>
      <c r="H13" s="17"/>
      <c r="I13" s="17">
        <f t="shared" si="0"/>
        <v>55016647</v>
      </c>
      <c r="J13" s="17"/>
      <c r="K13" s="17">
        <f>VLOOKUP(A13,' سهام'!$A$10:$U$26,15,0)</f>
        <v>193439</v>
      </c>
      <c r="L13" s="17"/>
      <c r="M13" s="17">
        <f>VLOOKUP(A13,' سهام'!$A$10:$U$26,21,0)</f>
        <v>2645883405</v>
      </c>
      <c r="N13" s="17"/>
      <c r="O13" s="17">
        <v>2590866758</v>
      </c>
      <c r="P13" s="17"/>
      <c r="Q13" s="17">
        <f t="shared" si="1"/>
        <v>55016647</v>
      </c>
      <c r="R13" s="102"/>
      <c r="S13" s="194"/>
      <c r="T13" s="102"/>
      <c r="V13" s="19"/>
      <c r="W13" s="102"/>
      <c r="X13" s="102"/>
      <c r="Y13" s="102"/>
    </row>
    <row r="14" spans="1:25">
      <c r="A14" s="132" t="s">
        <v>112</v>
      </c>
      <c r="C14" s="17">
        <f>VLOOKUP(A14,' سهام'!$A$10:$U$26,15,0)</f>
        <v>84352</v>
      </c>
      <c r="D14" s="17"/>
      <c r="E14" s="17">
        <f>VLOOKUP(A14,' سهام'!$A$10:$U$26,21,0)</f>
        <v>1482469871</v>
      </c>
      <c r="F14" s="17"/>
      <c r="G14" s="17">
        <v>1526800960</v>
      </c>
      <c r="H14" s="17"/>
      <c r="I14" s="17">
        <f t="shared" si="0"/>
        <v>-44331089</v>
      </c>
      <c r="J14" s="17"/>
      <c r="K14" s="17">
        <f>VLOOKUP(A14,' سهام'!$A$10:$U$26,15,0)</f>
        <v>84352</v>
      </c>
      <c r="L14" s="17"/>
      <c r="M14" s="17">
        <f>VLOOKUP(A14,' سهام'!$A$10:$U$26,21,0)</f>
        <v>1482469871</v>
      </c>
      <c r="N14" s="17"/>
      <c r="O14" s="17">
        <v>1218342035</v>
      </c>
      <c r="P14" s="17"/>
      <c r="Q14" s="17">
        <f t="shared" si="1"/>
        <v>264127836</v>
      </c>
      <c r="R14" s="102"/>
      <c r="S14" s="194"/>
      <c r="T14" s="102"/>
      <c r="V14" s="19"/>
      <c r="W14" s="102"/>
      <c r="X14" s="102"/>
      <c r="Y14" s="102"/>
    </row>
    <row r="15" spans="1:25">
      <c r="A15" s="132" t="s">
        <v>99</v>
      </c>
      <c r="C15" s="17">
        <f>VLOOKUP(A15,' سهام'!$A$10:$U$26,15,0)</f>
        <v>134848</v>
      </c>
      <c r="D15" s="17"/>
      <c r="E15" s="17">
        <f>VLOOKUP(A15,' سهام'!$A$10:$U$26,21,0)</f>
        <v>6019990343</v>
      </c>
      <c r="F15" s="17"/>
      <c r="G15" s="17">
        <v>5728744866</v>
      </c>
      <c r="H15" s="17"/>
      <c r="I15" s="17">
        <f t="shared" si="0"/>
        <v>291245477</v>
      </c>
      <c r="J15" s="17"/>
      <c r="K15" s="17">
        <f>VLOOKUP(A15,' سهام'!$A$10:$U$26,15,0)</f>
        <v>134848</v>
      </c>
      <c r="L15" s="17"/>
      <c r="M15" s="17">
        <f>VLOOKUP(A15,' سهام'!$A$10:$U$26,21,0)</f>
        <v>6019990343</v>
      </c>
      <c r="N15" s="17"/>
      <c r="O15" s="17">
        <v>5891306513</v>
      </c>
      <c r="P15" s="17"/>
      <c r="Q15" s="17">
        <f t="shared" si="1"/>
        <v>128683830</v>
      </c>
      <c r="R15" s="102"/>
      <c r="S15" s="194"/>
      <c r="T15" s="102"/>
      <c r="V15" s="19"/>
      <c r="W15" s="102"/>
      <c r="X15" s="102"/>
      <c r="Y15" s="102"/>
    </row>
    <row r="16" spans="1:25">
      <c r="A16" s="132" t="s">
        <v>125</v>
      </c>
      <c r="C16" s="17">
        <f>VLOOKUP(A16,' سهام'!$A$10:$U$26,15,0)</f>
        <v>631993</v>
      </c>
      <c r="D16" s="17"/>
      <c r="E16" s="17">
        <f>VLOOKUP(A16,' سهام'!$A$10:$U$26,21,0)</f>
        <v>4253134988</v>
      </c>
      <c r="F16" s="17"/>
      <c r="G16" s="17">
        <v>4799406829</v>
      </c>
      <c r="H16" s="17"/>
      <c r="I16" s="17">
        <f t="shared" si="0"/>
        <v>-546271841</v>
      </c>
      <c r="J16" s="17"/>
      <c r="K16" s="17">
        <f>VLOOKUP(A16,' سهام'!$A$10:$U$26,15,0)</f>
        <v>631993</v>
      </c>
      <c r="L16" s="17"/>
      <c r="M16" s="17">
        <f>VLOOKUP(A16,' سهام'!$A$10:$U$26,21,0)</f>
        <v>4253134988</v>
      </c>
      <c r="N16" s="17"/>
      <c r="O16" s="17">
        <v>6889162907</v>
      </c>
      <c r="P16" s="17"/>
      <c r="Q16" s="17">
        <f t="shared" si="1"/>
        <v>-2636027919</v>
      </c>
      <c r="R16" s="102"/>
      <c r="S16" s="194"/>
      <c r="T16" s="102"/>
      <c r="V16" s="19"/>
      <c r="W16" s="102"/>
      <c r="X16" s="102"/>
      <c r="Y16" s="102"/>
    </row>
    <row r="17" spans="1:25">
      <c r="A17" s="132" t="s">
        <v>101</v>
      </c>
      <c r="C17" s="17">
        <f>VLOOKUP(A17,' سهام'!$A$10:$U$26,15,0)</f>
        <v>347537</v>
      </c>
      <c r="D17" s="17"/>
      <c r="E17" s="17">
        <f>VLOOKUP(A17,' سهام'!$A$10:$U$26,21,0)</f>
        <v>6650281234</v>
      </c>
      <c r="F17" s="17"/>
      <c r="G17" s="17">
        <v>6412293329</v>
      </c>
      <c r="H17" s="17"/>
      <c r="I17" s="17">
        <f t="shared" si="0"/>
        <v>237987905</v>
      </c>
      <c r="J17" s="17"/>
      <c r="K17" s="17">
        <f>VLOOKUP(A17,' سهام'!$A$10:$U$26,15,0)</f>
        <v>347537</v>
      </c>
      <c r="L17" s="17"/>
      <c r="M17" s="17">
        <f>VLOOKUP(A17,' سهام'!$A$10:$U$26,21,0)</f>
        <v>6650281234</v>
      </c>
      <c r="N17" s="17"/>
      <c r="O17" s="17">
        <v>6481001350</v>
      </c>
      <c r="P17" s="17"/>
      <c r="Q17" s="17">
        <f t="shared" si="1"/>
        <v>169279884</v>
      </c>
      <c r="R17" s="102"/>
      <c r="S17" s="194"/>
      <c r="T17" s="102"/>
      <c r="V17" s="19"/>
      <c r="W17" s="102"/>
      <c r="X17" s="102"/>
      <c r="Y17" s="102"/>
    </row>
    <row r="18" spans="1:25">
      <c r="A18" s="132" t="s">
        <v>98</v>
      </c>
      <c r="C18" s="17">
        <f>VLOOKUP(A18,' سهام'!$A$10:$U$26,15,0)</f>
        <v>270309</v>
      </c>
      <c r="D18" s="17"/>
      <c r="E18" s="17">
        <f>VLOOKUP(A18,' سهام'!$A$10:$U$26,21,0)</f>
        <v>4844672928</v>
      </c>
      <c r="F18" s="17"/>
      <c r="G18" s="17">
        <v>4913318151</v>
      </c>
      <c r="H18" s="17"/>
      <c r="I18" s="17">
        <f t="shared" si="0"/>
        <v>-68645223</v>
      </c>
      <c r="J18" s="17"/>
      <c r="K18" s="17">
        <f>VLOOKUP(A18,' سهام'!$A$10:$U$26,15,0)</f>
        <v>270309</v>
      </c>
      <c r="L18" s="17"/>
      <c r="M18" s="17">
        <f>VLOOKUP(A18,' سهام'!$A$10:$U$26,21,0)</f>
        <v>4844672928</v>
      </c>
      <c r="N18" s="17"/>
      <c r="O18" s="17">
        <v>4400815521</v>
      </c>
      <c r="P18" s="17"/>
      <c r="Q18" s="17">
        <f t="shared" si="1"/>
        <v>443857407</v>
      </c>
      <c r="R18" s="102"/>
      <c r="S18" s="194"/>
      <c r="T18" s="102"/>
      <c r="V18" s="19"/>
      <c r="W18" s="102"/>
      <c r="X18" s="102"/>
      <c r="Y18" s="102"/>
    </row>
    <row r="19" spans="1:25">
      <c r="A19" s="132" t="s">
        <v>96</v>
      </c>
      <c r="C19" s="17">
        <f>VLOOKUP(A19,' سهام'!$A$10:$U$26,15,0)</f>
        <v>0</v>
      </c>
      <c r="D19" s="17"/>
      <c r="E19" s="17">
        <f>VLOOKUP(A19,' سهام'!$A$10:$U$26,21,0)</f>
        <v>0</v>
      </c>
      <c r="F19" s="17"/>
      <c r="G19" s="17">
        <v>892672755</v>
      </c>
      <c r="H19" s="17"/>
      <c r="I19" s="17">
        <f t="shared" si="0"/>
        <v>-892672755</v>
      </c>
      <c r="J19" s="17"/>
      <c r="K19" s="17">
        <f>VLOOKUP(A19,' سهام'!$A$10:$U$26,15,0)</f>
        <v>0</v>
      </c>
      <c r="L19" s="17"/>
      <c r="M19" s="17">
        <f>VLOOKUP(A19,' سهام'!$A$10:$U$26,21,0)</f>
        <v>0</v>
      </c>
      <c r="N19" s="17"/>
      <c r="O19" s="17">
        <v>0</v>
      </c>
      <c r="P19" s="17"/>
      <c r="Q19" s="17">
        <f t="shared" si="1"/>
        <v>0</v>
      </c>
      <c r="R19" s="102"/>
      <c r="S19" s="194"/>
      <c r="T19" s="102"/>
      <c r="V19" s="19"/>
      <c r="W19" s="102"/>
      <c r="X19" s="102"/>
      <c r="Y19" s="102"/>
    </row>
    <row r="20" spans="1:25">
      <c r="A20" s="132" t="s">
        <v>111</v>
      </c>
      <c r="C20" s="17">
        <f>VLOOKUP(A20,' سهام'!$A$10:$U$26,15,0)</f>
        <v>42145</v>
      </c>
      <c r="D20" s="17"/>
      <c r="E20" s="17">
        <f>VLOOKUP(A20,' سهام'!$A$10:$U$26,21,0)</f>
        <v>1163402973</v>
      </c>
      <c r="F20" s="17"/>
      <c r="G20" s="17">
        <v>1179967544</v>
      </c>
      <c r="H20" s="17"/>
      <c r="I20" s="17">
        <f t="shared" si="0"/>
        <v>-16564571</v>
      </c>
      <c r="J20" s="17"/>
      <c r="K20" s="17">
        <f>VLOOKUP(A20,' سهام'!$A$10:$U$26,15,0)</f>
        <v>42145</v>
      </c>
      <c r="L20" s="17"/>
      <c r="M20" s="17">
        <f>VLOOKUP(A20,' سهام'!$A$10:$U$26,21,0)</f>
        <v>1163402973</v>
      </c>
      <c r="N20" s="17"/>
      <c r="O20" s="17">
        <v>912037546</v>
      </c>
      <c r="P20" s="17"/>
      <c r="Q20" s="17">
        <f t="shared" si="1"/>
        <v>251365427</v>
      </c>
      <c r="R20" s="102"/>
      <c r="S20" s="194"/>
      <c r="T20" s="102"/>
      <c r="V20" s="19"/>
      <c r="W20" s="102"/>
      <c r="X20" s="102"/>
      <c r="Y20" s="102"/>
    </row>
    <row r="21" spans="1:25">
      <c r="A21" s="132" t="s">
        <v>108</v>
      </c>
      <c r="C21" s="17">
        <f>VLOOKUP(A21,' سهام'!$A$10:$U$26,15,0)</f>
        <v>45043</v>
      </c>
      <c r="D21" s="17"/>
      <c r="E21" s="17">
        <f>VLOOKUP(A21,' سهام'!$A$10:$U$26,21,0)</f>
        <v>1600258293</v>
      </c>
      <c r="F21" s="17"/>
      <c r="G21" s="17">
        <v>1501775324</v>
      </c>
      <c r="H21" s="17"/>
      <c r="I21" s="17">
        <f t="shared" si="0"/>
        <v>98482969</v>
      </c>
      <c r="J21" s="17"/>
      <c r="K21" s="17">
        <f>VLOOKUP(A21,' سهام'!$A$10:$U$26,15,0)</f>
        <v>45043</v>
      </c>
      <c r="L21" s="17"/>
      <c r="M21" s="17">
        <f>VLOOKUP(A21,' سهام'!$A$10:$U$26,21,0)</f>
        <v>1600258293</v>
      </c>
      <c r="N21" s="17"/>
      <c r="O21" s="17">
        <v>1392427503</v>
      </c>
      <c r="P21" s="17"/>
      <c r="Q21" s="17">
        <f t="shared" si="1"/>
        <v>207830790</v>
      </c>
      <c r="R21" s="102"/>
      <c r="S21" s="194"/>
      <c r="T21" s="102"/>
      <c r="V21" s="19"/>
      <c r="W21" s="102"/>
      <c r="X21" s="102"/>
      <c r="Y21" s="102"/>
    </row>
    <row r="22" spans="1:25">
      <c r="A22" s="132" t="s">
        <v>114</v>
      </c>
      <c r="C22" s="17">
        <f>VLOOKUP(A22,' سهام'!$A$10:$U$26,15,0)</f>
        <v>37752</v>
      </c>
      <c r="D22" s="17"/>
      <c r="E22" s="17">
        <f>VLOOKUP(A22,' سهام'!$A$10:$U$26,21,0)</f>
        <v>1029751190</v>
      </c>
      <c r="F22" s="17"/>
      <c r="G22" s="17">
        <v>1006055383</v>
      </c>
      <c r="H22" s="17"/>
      <c r="I22" s="17">
        <f t="shared" si="0"/>
        <v>23695807</v>
      </c>
      <c r="J22" s="17"/>
      <c r="K22" s="17">
        <f>VLOOKUP(A22,' سهام'!$A$10:$U$26,15,0)</f>
        <v>37752</v>
      </c>
      <c r="L22" s="17"/>
      <c r="M22" s="17">
        <f>VLOOKUP(A22,' سهام'!$A$10:$U$26,21,0)</f>
        <v>1029751190</v>
      </c>
      <c r="N22" s="17"/>
      <c r="O22" s="17">
        <v>863880187</v>
      </c>
      <c r="P22" s="17"/>
      <c r="Q22" s="17">
        <f t="shared" si="1"/>
        <v>165871003</v>
      </c>
      <c r="R22" s="102"/>
      <c r="S22" s="194"/>
      <c r="T22" s="102"/>
      <c r="V22" s="19"/>
      <c r="W22" s="102"/>
      <c r="X22" s="102"/>
      <c r="Y22" s="102"/>
    </row>
    <row r="23" spans="1:25">
      <c r="A23" s="132" t="s">
        <v>109</v>
      </c>
      <c r="C23" s="17">
        <f>VLOOKUP(A23,' سهام'!$A$10:$U$26,15,0)</f>
        <v>12637776</v>
      </c>
      <c r="D23" s="17"/>
      <c r="E23" s="17">
        <f>VLOOKUP(A23,' سهام'!$A$10:$U$26,21,0)</f>
        <v>65074170789</v>
      </c>
      <c r="F23" s="17"/>
      <c r="G23" s="17">
        <v>83007912726</v>
      </c>
      <c r="H23" s="17"/>
      <c r="I23" s="17">
        <f t="shared" si="0"/>
        <v>-17933741937</v>
      </c>
      <c r="J23" s="17"/>
      <c r="K23" s="17">
        <f>VLOOKUP(A23,' سهام'!$A$10:$U$26,15,0)</f>
        <v>12637776</v>
      </c>
      <c r="L23" s="17"/>
      <c r="M23" s="17">
        <f>VLOOKUP(A23,' سهام'!$A$10:$U$26,21,0)</f>
        <v>65074170789</v>
      </c>
      <c r="N23" s="17"/>
      <c r="O23" s="17">
        <v>60790330591</v>
      </c>
      <c r="P23" s="17"/>
      <c r="Q23" s="17">
        <f t="shared" si="1"/>
        <v>4283840198</v>
      </c>
      <c r="R23" s="102"/>
      <c r="S23" s="194"/>
      <c r="T23" s="102"/>
      <c r="V23" s="19"/>
      <c r="W23" s="102"/>
      <c r="X23" s="102"/>
      <c r="Y23" s="102"/>
    </row>
    <row r="24" spans="1:25">
      <c r="A24" s="132" t="s">
        <v>97</v>
      </c>
      <c r="C24" s="17">
        <f>VLOOKUP(A24,' سهام'!$A$10:$U$26,15,0)</f>
        <v>144124</v>
      </c>
      <c r="D24" s="17"/>
      <c r="E24" s="17">
        <f>VLOOKUP(A24,' سهام'!$A$10:$U$26,21,0)</f>
        <v>2606016952</v>
      </c>
      <c r="F24" s="17"/>
      <c r="G24" s="17">
        <v>2585883879</v>
      </c>
      <c r="H24" s="17"/>
      <c r="I24" s="17">
        <f t="shared" si="0"/>
        <v>20133073</v>
      </c>
      <c r="J24" s="17"/>
      <c r="K24" s="17">
        <f>VLOOKUP(A24,' سهام'!$A$10:$U$26,15,0)</f>
        <v>144124</v>
      </c>
      <c r="L24" s="17"/>
      <c r="M24" s="17">
        <f>VLOOKUP(A24,' سهام'!$A$10:$U$26,21,0)</f>
        <v>2606016952</v>
      </c>
      <c r="N24" s="17"/>
      <c r="O24" s="17">
        <v>2716332124</v>
      </c>
      <c r="P24" s="17"/>
      <c r="Q24" s="17">
        <f t="shared" si="1"/>
        <v>-110315172</v>
      </c>
      <c r="R24" s="102"/>
      <c r="S24" s="194"/>
      <c r="T24" s="102"/>
      <c r="V24" s="19"/>
      <c r="W24" s="102"/>
      <c r="X24" s="102"/>
      <c r="Y24" s="102"/>
    </row>
    <row r="25" spans="1:25">
      <c r="A25" s="132" t="s">
        <v>95</v>
      </c>
      <c r="C25" s="17">
        <f>VLOOKUP(A25,' سهام'!$A$10:$U$26,15,0)</f>
        <v>18536</v>
      </c>
      <c r="D25" s="17"/>
      <c r="E25" s="17">
        <f>VLOOKUP(A25,' سهام'!$A$10:$U$26,21,0)</f>
        <v>225714961</v>
      </c>
      <c r="F25" s="17"/>
      <c r="G25" s="17">
        <v>637760535</v>
      </c>
      <c r="H25" s="17"/>
      <c r="I25" s="17">
        <f t="shared" si="0"/>
        <v>-412045574</v>
      </c>
      <c r="J25" s="17"/>
      <c r="K25" s="17">
        <f>VLOOKUP(A25,' سهام'!$A$10:$U$26,15,0)</f>
        <v>18536</v>
      </c>
      <c r="L25" s="17"/>
      <c r="M25" s="17">
        <f>VLOOKUP(A25,' سهام'!$A$10:$U$26,21,0)</f>
        <v>225714961</v>
      </c>
      <c r="N25" s="17"/>
      <c r="O25" s="17">
        <v>193654221</v>
      </c>
      <c r="P25" s="17"/>
      <c r="Q25" s="17">
        <f t="shared" si="1"/>
        <v>32060740</v>
      </c>
      <c r="R25" s="102"/>
      <c r="S25" s="194"/>
      <c r="T25" s="102"/>
      <c r="V25" s="19"/>
      <c r="W25" s="102"/>
      <c r="X25" s="102"/>
      <c r="Y25" s="102"/>
    </row>
    <row r="26" spans="1:25">
      <c r="A26" s="132" t="s">
        <v>126</v>
      </c>
      <c r="C26" s="17">
        <f>VLOOKUP(A26,' سهام'!$A$10:$U$26,15,0)</f>
        <v>1692012</v>
      </c>
      <c r="D26" s="17"/>
      <c r="E26" s="17">
        <f>VLOOKUP(A26,' سهام'!$A$10:$U$26,21,0)</f>
        <v>5595829451</v>
      </c>
      <c r="F26" s="17"/>
      <c r="G26" s="17">
        <v>5645993852</v>
      </c>
      <c r="H26" s="17"/>
      <c r="I26" s="17">
        <f t="shared" si="0"/>
        <v>-50164401</v>
      </c>
      <c r="J26" s="17"/>
      <c r="K26" s="17">
        <f>VLOOKUP(A26,' سهام'!$A$10:$U$26,15,0)</f>
        <v>1692012</v>
      </c>
      <c r="L26" s="17"/>
      <c r="M26" s="17">
        <f>VLOOKUP(A26,' سهام'!$A$10:$U$26,21,0)</f>
        <v>5595829451</v>
      </c>
      <c r="N26" s="17"/>
      <c r="O26" s="17">
        <v>5163569707</v>
      </c>
      <c r="P26" s="17"/>
      <c r="Q26" s="17">
        <f t="shared" si="1"/>
        <v>432259744</v>
      </c>
      <c r="R26" s="102"/>
      <c r="S26" s="194"/>
      <c r="T26" s="102"/>
      <c r="V26" s="19"/>
      <c r="W26" s="102"/>
      <c r="X26" s="102"/>
      <c r="Y26" s="102"/>
    </row>
    <row r="27" spans="1:25">
      <c r="A27" s="132" t="s">
        <v>100</v>
      </c>
      <c r="C27" s="17">
        <f>VLOOKUP(A27,' سهام'!$A$10:$U$26,15,0)</f>
        <v>317710</v>
      </c>
      <c r="D27" s="17"/>
      <c r="E27" s="17">
        <f>VLOOKUP(A27,' سهام'!$A$10:$U$26,21,0)</f>
        <v>2551822578</v>
      </c>
      <c r="F27" s="17"/>
      <c r="G27" s="17">
        <v>2858944440</v>
      </c>
      <c r="H27" s="17"/>
      <c r="I27" s="17">
        <f t="shared" si="0"/>
        <v>-307121862</v>
      </c>
      <c r="J27" s="17"/>
      <c r="K27" s="17">
        <f>VLOOKUP(A27,' سهام'!$A$10:$U$26,15,0)</f>
        <v>317710</v>
      </c>
      <c r="L27" s="17"/>
      <c r="M27" s="17">
        <f>VLOOKUP(A27,' سهام'!$A$10:$U$26,21,0)</f>
        <v>2551822578</v>
      </c>
      <c r="N27" s="17"/>
      <c r="O27" s="17">
        <v>912123520</v>
      </c>
      <c r="P27" s="17"/>
      <c r="Q27" s="17">
        <f t="shared" si="1"/>
        <v>1639699058</v>
      </c>
      <c r="R27" s="102"/>
      <c r="S27" s="194"/>
      <c r="T27" s="102"/>
      <c r="V27" s="19"/>
      <c r="W27" s="102"/>
      <c r="X27" s="102"/>
      <c r="Y27" s="102"/>
    </row>
    <row r="28" spans="1:25" ht="23.25" thickBot="1">
      <c r="A28" s="132"/>
      <c r="B28" s="132"/>
      <c r="C28" s="132"/>
      <c r="D28" s="132"/>
      <c r="E28" s="195">
        <f>SUM(E7:E27)</f>
        <v>169488320211</v>
      </c>
      <c r="F28" s="34"/>
      <c r="G28" s="195">
        <f>SUM(G7:G27)</f>
        <v>189765164451</v>
      </c>
      <c r="H28" s="34"/>
      <c r="I28" s="195">
        <f>SUM(I7:I27)</f>
        <v>-20276844240</v>
      </c>
      <c r="J28" s="34"/>
      <c r="K28" s="17"/>
      <c r="L28" s="34"/>
      <c r="M28" s="195">
        <f>SUM(M7:M27)</f>
        <v>169488320211</v>
      </c>
      <c r="N28" s="34"/>
      <c r="O28" s="195">
        <f>SUM(O7:O27)</f>
        <v>165234183660</v>
      </c>
      <c r="P28" s="34"/>
      <c r="Q28" s="195">
        <f>SUM(Q7:Q27)</f>
        <v>4254136551</v>
      </c>
      <c r="R28" s="102"/>
      <c r="S28" s="102"/>
      <c r="T28" s="102"/>
    </row>
    <row r="29" spans="1:25" ht="23.25" thickTop="1">
      <c r="A29" s="72"/>
      <c r="B29" s="72"/>
      <c r="C29" s="82"/>
      <c r="D29" s="72"/>
      <c r="E29" s="57"/>
      <c r="F29" s="34"/>
      <c r="G29" s="57"/>
      <c r="H29" s="34"/>
      <c r="I29" s="57"/>
      <c r="J29" s="34"/>
      <c r="K29" s="82"/>
      <c r="L29" s="34"/>
      <c r="M29" s="57"/>
      <c r="N29" s="34"/>
      <c r="O29" s="57"/>
      <c r="P29" s="34"/>
      <c r="Q29" s="57"/>
      <c r="R29" s="102"/>
      <c r="S29" s="102"/>
      <c r="T29" s="102"/>
    </row>
    <row r="30" spans="1:25" ht="22.5">
      <c r="A30" s="72"/>
      <c r="B30" s="72"/>
      <c r="C30" s="82"/>
      <c r="D30" s="72"/>
      <c r="E30" s="57"/>
      <c r="F30" s="34"/>
      <c r="G30" s="57"/>
      <c r="H30" s="34"/>
      <c r="I30" s="57"/>
      <c r="J30" s="34"/>
      <c r="K30" s="82"/>
      <c r="L30" s="34"/>
      <c r="M30" s="57"/>
      <c r="N30" s="34"/>
      <c r="O30" s="57"/>
      <c r="P30" s="34"/>
      <c r="Q30" s="57"/>
      <c r="R30" s="102"/>
      <c r="S30" s="102"/>
      <c r="T30" s="102"/>
    </row>
    <row r="31" spans="1:25" ht="7.5" customHeight="1">
      <c r="A31" s="72"/>
      <c r="B31" s="72"/>
    </row>
    <row r="32" spans="1:25" ht="24.75" customHeight="1">
      <c r="A32" s="268" t="s">
        <v>45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70"/>
    </row>
    <row r="33" spans="1:17">
      <c r="Q33" s="130"/>
    </row>
    <row r="34" spans="1:17" s="35" customFormat="1" ht="24"/>
    <row r="35" spans="1:17">
      <c r="A35" s="17"/>
      <c r="C35" s="102"/>
      <c r="D35" s="86"/>
      <c r="E35" s="86"/>
      <c r="F35" s="86"/>
      <c r="G35" s="86"/>
      <c r="H35" s="86"/>
      <c r="I35" s="102"/>
      <c r="J35" s="86"/>
      <c r="K35" s="102"/>
      <c r="L35" s="86"/>
      <c r="M35" s="299"/>
      <c r="N35" s="86"/>
      <c r="O35" s="86"/>
      <c r="P35" s="86"/>
      <c r="Q35" s="102"/>
    </row>
    <row r="36" spans="1:17">
      <c r="A36" s="81"/>
      <c r="C36" s="17"/>
      <c r="D36" s="17"/>
      <c r="E36" s="300"/>
      <c r="F36" s="17"/>
      <c r="G36" s="133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7" s="35" customFormat="1" ht="24">
      <c r="I37" s="28"/>
      <c r="J37" s="37"/>
      <c r="K37" s="37"/>
      <c r="L37" s="37"/>
      <c r="M37" s="37"/>
      <c r="N37" s="37"/>
      <c r="O37" s="37"/>
      <c r="P37" s="37"/>
      <c r="Q37" s="28"/>
    </row>
    <row r="38" spans="1:17" s="35" customFormat="1" ht="24">
      <c r="I38" s="17"/>
      <c r="Q38" s="17"/>
    </row>
    <row r="39" spans="1:17" s="35" customFormat="1" ht="24">
      <c r="I39" s="28"/>
      <c r="Q39" s="28"/>
    </row>
    <row r="40" spans="1:17" s="35" customFormat="1" ht="24"/>
    <row r="41" spans="1:17" s="35" customFormat="1" ht="24"/>
    <row r="42" spans="1:17" s="35" customFormat="1" ht="24"/>
    <row r="43" spans="1:17" s="35" customFormat="1" ht="24"/>
    <row r="44" spans="1:17" s="35" customFormat="1" ht="24"/>
    <row r="45" spans="1:17" s="35" customFormat="1" ht="24"/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32:Q32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X40"/>
  <sheetViews>
    <sheetView rightToLeft="1" view="pageBreakPreview" zoomScale="60" zoomScaleNormal="100" workbookViewId="0">
      <selection activeCell="W14" sqref="W14"/>
    </sheetView>
  </sheetViews>
  <sheetFormatPr defaultColWidth="9.140625" defaultRowHeight="15"/>
  <cols>
    <col min="1" max="1" width="50.28515625" style="134" customWidth="1"/>
    <col min="2" max="2" width="1.28515625" style="134" customWidth="1"/>
    <col min="3" max="3" width="26.5703125" style="42" customWidth="1"/>
    <col min="4" max="4" width="1" style="134" customWidth="1"/>
    <col min="5" max="5" width="28.42578125" style="43" customWidth="1"/>
    <col min="6" max="6" width="1.42578125" style="43" customWidth="1"/>
    <col min="7" max="7" width="26.5703125" style="43" customWidth="1"/>
    <col min="8" max="8" width="1" style="148" customWidth="1"/>
    <col min="9" max="9" width="28.42578125" style="148" customWidth="1"/>
    <col min="10" max="10" width="2" style="148" customWidth="1"/>
    <col min="11" max="11" width="28.5703125" style="149" customWidth="1"/>
    <col min="12" max="12" width="1.5703125" style="134" customWidth="1"/>
    <col min="13" max="13" width="28.42578125" style="42" bestFit="1" customWidth="1"/>
    <col min="14" max="14" width="0.85546875" style="42" customWidth="1"/>
    <col min="15" max="15" width="28.42578125" style="43" bestFit="1" customWidth="1"/>
    <col min="16" max="16" width="0.85546875" style="43" customWidth="1"/>
    <col min="17" max="17" width="28.42578125" style="43" bestFit="1" customWidth="1"/>
    <col min="18" max="18" width="0.85546875" style="43" customWidth="1"/>
    <col min="19" max="19" width="27.140625" style="43" customWidth="1"/>
    <col min="20" max="20" width="1.42578125" style="43" customWidth="1"/>
    <col min="21" max="21" width="29.85546875" style="149" customWidth="1"/>
    <col min="22" max="22" width="9.140625" style="134"/>
    <col min="23" max="23" width="22.42578125" style="134" bestFit="1" customWidth="1"/>
    <col min="24" max="24" width="9.140625" style="134"/>
    <col min="25" max="25" width="18.85546875" style="134" bestFit="1" customWidth="1"/>
    <col min="26" max="16384" width="9.140625" style="134"/>
  </cols>
  <sheetData>
    <row r="1" spans="1:24" ht="27.75">
      <c r="A1" s="272" t="s">
        <v>94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</row>
    <row r="2" spans="1:24" ht="27.75">
      <c r="A2" s="272" t="s">
        <v>57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</row>
    <row r="3" spans="1:24" ht="27.75">
      <c r="A3" s="272" t="str">
        <f>' سهام'!A3:W3</f>
        <v>برای ماه منتهی به 1402/10/30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</row>
    <row r="5" spans="1:24" s="135" customFormat="1" ht="24.75">
      <c r="A5" s="239" t="s">
        <v>28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</row>
    <row r="6" spans="1:24" s="135" customFormat="1" ht="9.75" customHeight="1">
      <c r="C6" s="35"/>
      <c r="E6" s="38"/>
      <c r="F6" s="38"/>
      <c r="G6" s="38"/>
      <c r="H6" s="136"/>
      <c r="I6" s="136"/>
      <c r="J6" s="136"/>
      <c r="K6" s="137"/>
      <c r="M6" s="35"/>
      <c r="N6" s="35"/>
      <c r="O6" s="38"/>
      <c r="P6" s="38"/>
      <c r="Q6" s="38"/>
      <c r="R6" s="38"/>
      <c r="S6" s="38"/>
      <c r="T6" s="38"/>
      <c r="U6" s="137"/>
    </row>
    <row r="7" spans="1:24" s="135" customFormat="1" ht="27" customHeight="1" thickBot="1">
      <c r="A7" s="138"/>
      <c r="B7" s="139"/>
      <c r="C7" s="272" t="str" cm="1">
        <f t="array" ref="C7:G7">'سود اوراق بهادار و سپرده بانکی'!H5:L5</f>
        <v>طی دی ماه</v>
      </c>
      <c r="D7" s="272">
        <v>0</v>
      </c>
      <c r="E7" s="272">
        <v>0</v>
      </c>
      <c r="F7" s="272">
        <v>0</v>
      </c>
      <c r="G7" s="272">
        <v>0</v>
      </c>
      <c r="H7" s="272"/>
      <c r="I7" s="272"/>
      <c r="J7" s="272"/>
      <c r="K7" s="272"/>
      <c r="L7" s="139"/>
      <c r="M7" s="272" t="str" cm="1">
        <f t="array" ref="M7:Q7">'سود اوراق بهادار و سپرده بانکی'!N5:R5</f>
        <v>از ابتدای سال مالی تا پایان دی ماه</v>
      </c>
      <c r="N7" s="272">
        <v>0</v>
      </c>
      <c r="O7" s="272">
        <v>0</v>
      </c>
      <c r="P7" s="272">
        <v>0</v>
      </c>
      <c r="Q7" s="272">
        <v>0</v>
      </c>
      <c r="R7" s="272"/>
      <c r="S7" s="272"/>
      <c r="T7" s="272"/>
      <c r="U7" s="272"/>
    </row>
    <row r="8" spans="1:24" s="115" customFormat="1" ht="24.75" customHeight="1">
      <c r="A8" s="273" t="s">
        <v>24</v>
      </c>
      <c r="B8" s="273"/>
      <c r="C8" s="279" t="s">
        <v>12</v>
      </c>
      <c r="D8" s="275"/>
      <c r="E8" s="281" t="s">
        <v>13</v>
      </c>
      <c r="F8" s="276"/>
      <c r="G8" s="281" t="s">
        <v>14</v>
      </c>
      <c r="H8" s="288"/>
      <c r="I8" s="283" t="s">
        <v>2</v>
      </c>
      <c r="J8" s="283"/>
      <c r="K8" s="283"/>
      <c r="L8" s="273"/>
      <c r="M8" s="279" t="s">
        <v>12</v>
      </c>
      <c r="N8" s="285"/>
      <c r="O8" s="281" t="s">
        <v>13</v>
      </c>
      <c r="P8" s="276"/>
      <c r="Q8" s="281" t="s">
        <v>14</v>
      </c>
      <c r="R8" s="276"/>
      <c r="S8" s="283" t="s">
        <v>2</v>
      </c>
      <c r="T8" s="283"/>
      <c r="U8" s="283"/>
    </row>
    <row r="9" spans="1:24" s="115" customFormat="1" ht="6" customHeight="1" thickBot="1">
      <c r="A9" s="273"/>
      <c r="B9" s="273"/>
      <c r="C9" s="280"/>
      <c r="D9" s="273"/>
      <c r="E9" s="282"/>
      <c r="F9" s="277"/>
      <c r="G9" s="282"/>
      <c r="H9" s="289"/>
      <c r="I9" s="284"/>
      <c r="J9" s="284"/>
      <c r="K9" s="284"/>
      <c r="L9" s="273"/>
      <c r="M9" s="280"/>
      <c r="N9" s="286"/>
      <c r="O9" s="282"/>
      <c r="P9" s="277"/>
      <c r="Q9" s="282"/>
      <c r="R9" s="277"/>
      <c r="S9" s="284"/>
      <c r="T9" s="284"/>
      <c r="U9" s="284"/>
    </row>
    <row r="10" spans="1:24" s="115" customFormat="1" ht="42.75" customHeight="1" thickBot="1">
      <c r="A10" s="274"/>
      <c r="B10" s="273"/>
      <c r="C10" s="39" t="s">
        <v>61</v>
      </c>
      <c r="D10" s="273"/>
      <c r="E10" s="40" t="s">
        <v>62</v>
      </c>
      <c r="F10" s="278"/>
      <c r="G10" s="40" t="s">
        <v>63</v>
      </c>
      <c r="H10" s="289"/>
      <c r="I10" s="140" t="s">
        <v>6</v>
      </c>
      <c r="J10" s="140"/>
      <c r="K10" s="141" t="s">
        <v>19</v>
      </c>
      <c r="L10" s="273"/>
      <c r="M10" s="39" t="s">
        <v>61</v>
      </c>
      <c r="N10" s="287"/>
      <c r="O10" s="40" t="s">
        <v>62</v>
      </c>
      <c r="P10" s="278"/>
      <c r="Q10" s="40" t="s">
        <v>63</v>
      </c>
      <c r="R10" s="278"/>
      <c r="S10" s="41" t="s">
        <v>6</v>
      </c>
      <c r="T10" s="41"/>
      <c r="U10" s="141" t="s">
        <v>19</v>
      </c>
    </row>
    <row r="11" spans="1:24" s="62" customFormat="1" ht="30.75">
      <c r="A11" s="142" t="s">
        <v>116</v>
      </c>
      <c r="C11" s="4">
        <v>0</v>
      </c>
      <c r="D11" s="4"/>
      <c r="E11" s="4">
        <f>IFERROR(VLOOKUP(A11,'درآمد ناشی از تغییر قیمت  '!$A$7:$Q$27,9,0),0)</f>
        <v>0</v>
      </c>
      <c r="F11" s="4"/>
      <c r="G11" s="4">
        <f>IFERROR(VLOOKUP(A11,'درآمد ناشی ازفروش'!$A$7:$I$29,9,0),0)</f>
        <v>0</v>
      </c>
      <c r="H11" s="4"/>
      <c r="I11" s="4">
        <f>G11+E11+C11</f>
        <v>0</v>
      </c>
      <c r="K11" s="58">
        <f>I11/-18759518101</f>
        <v>0</v>
      </c>
      <c r="M11" s="4">
        <v>0</v>
      </c>
      <c r="N11" s="4"/>
      <c r="O11" s="4">
        <f>IFERROR(VLOOKUP(A11,'درآمد ناشی از تغییر قیمت  '!$A$7:$Q$27,17,0),0)</f>
        <v>0</v>
      </c>
      <c r="P11" s="4"/>
      <c r="Q11" s="4">
        <f>IFERROR(VLOOKUP(A11,'درآمد ناشی ازفروش'!$A$7:$Q$30,17,0),0)</f>
        <v>607602345</v>
      </c>
      <c r="R11" s="4"/>
      <c r="S11" s="4">
        <f>Q11+O11+M11</f>
        <v>607602345</v>
      </c>
      <c r="T11" s="67"/>
      <c r="U11" s="59">
        <f>S11/درآمدها!$J$4</f>
        <v>5.2536125856933999E-2</v>
      </c>
      <c r="V11" s="68"/>
      <c r="W11" s="68"/>
      <c r="X11" s="68"/>
    </row>
    <row r="12" spans="1:24" s="62" customFormat="1" ht="30.75">
      <c r="A12" s="142" t="s">
        <v>100</v>
      </c>
      <c r="C12" s="4">
        <v>0</v>
      </c>
      <c r="D12" s="4"/>
      <c r="E12" s="4">
        <f>IFERROR(VLOOKUP(A12,'درآمد ناشی از تغییر قیمت  '!$A$7:$Q$27,9,0),0)</f>
        <v>-307121862</v>
      </c>
      <c r="F12" s="4"/>
      <c r="G12" s="4">
        <f>IFERROR(VLOOKUP(A12,'درآمد ناشی ازفروش'!$A$7:$I$29,9,0),0)</f>
        <v>66390762</v>
      </c>
      <c r="H12" s="4"/>
      <c r="I12" s="4">
        <f t="shared" ref="I12:I31" si="0">G12+E12+C12</f>
        <v>-240731100</v>
      </c>
      <c r="K12" s="58">
        <f t="shared" ref="K12:K31" si="1">I12/-18759518101</f>
        <v>1.283247782293339E-2</v>
      </c>
      <c r="M12" s="4">
        <v>0</v>
      </c>
      <c r="N12" s="4"/>
      <c r="O12" s="4">
        <f>IFERROR(VLOOKUP(A12,'درآمد ناشی از تغییر قیمت  '!$A$7:$Q$27,17,0),0)</f>
        <v>1639699058</v>
      </c>
      <c r="P12" s="4"/>
      <c r="Q12" s="4">
        <f>IFERROR(VLOOKUP(A12,'درآمد ناشی ازفروش'!$A$7:$Q$30,17,0),0)</f>
        <v>43104211</v>
      </c>
      <c r="R12" s="4"/>
      <c r="S12" s="4">
        <f t="shared" ref="S12:S31" si="2">Q12+O12+M12</f>
        <v>1682803269</v>
      </c>
      <c r="T12" s="67"/>
      <c r="U12" s="59">
        <f>S12/درآمدها!$J$4</f>
        <v>0.14550300054000609</v>
      </c>
      <c r="V12" s="68"/>
      <c r="W12" s="68"/>
      <c r="X12" s="68"/>
    </row>
    <row r="13" spans="1:24" s="62" customFormat="1" ht="30.75">
      <c r="A13" s="142" t="s">
        <v>126</v>
      </c>
      <c r="C13" s="4">
        <v>0</v>
      </c>
      <c r="D13" s="4"/>
      <c r="E13" s="4">
        <f>IFERROR(VLOOKUP(A13,'درآمد ناشی از تغییر قیمت  '!$A$7:$Q$27,9,0),0)</f>
        <v>-50164401</v>
      </c>
      <c r="F13" s="4"/>
      <c r="G13" s="4">
        <f>IFERROR(VLOOKUP(A13,'درآمد ناشی ازفروش'!$A$7:$I$29,9,0),0)</f>
        <v>23169534</v>
      </c>
      <c r="H13" s="4"/>
      <c r="I13" s="4">
        <f t="shared" si="0"/>
        <v>-26994867</v>
      </c>
      <c r="K13" s="58">
        <f t="shared" si="1"/>
        <v>1.4389957596278023E-3</v>
      </c>
      <c r="M13" s="4">
        <v>0</v>
      </c>
      <c r="N13" s="4"/>
      <c r="O13" s="4">
        <f>IFERROR(VLOOKUP(A13,'درآمد ناشی از تغییر قیمت  '!$A$7:$Q$27,17,0),0)</f>
        <v>432259744</v>
      </c>
      <c r="P13" s="4"/>
      <c r="Q13" s="4">
        <f>IFERROR(VLOOKUP(A13,'درآمد ناشی ازفروش'!$A$7:$Q$30,17,0),0)</f>
        <v>22648108</v>
      </c>
      <c r="R13" s="4"/>
      <c r="S13" s="4">
        <f t="shared" si="2"/>
        <v>454907852</v>
      </c>
      <c r="T13" s="67"/>
      <c r="U13" s="59">
        <f>S13/درآمدها!$J$4</f>
        <v>3.9333449521132949E-2</v>
      </c>
      <c r="V13" s="68"/>
      <c r="W13" s="68"/>
      <c r="X13" s="68"/>
    </row>
    <row r="14" spans="1:24" s="62" customFormat="1" ht="30.75">
      <c r="A14" s="142" t="s">
        <v>95</v>
      </c>
      <c r="C14" s="4">
        <v>0</v>
      </c>
      <c r="D14" s="4"/>
      <c r="E14" s="4">
        <f>IFERROR(VLOOKUP(A14,'درآمد ناشی از تغییر قیمت  '!$A$7:$Q$27,9,0),0)</f>
        <v>-412045574</v>
      </c>
      <c r="F14" s="4"/>
      <c r="G14" s="4">
        <f>IFERROR(VLOOKUP(A14,'درآمد ناشی ازفروش'!$A$7:$I$29,9,0),0)</f>
        <v>395358116</v>
      </c>
      <c r="H14" s="4"/>
      <c r="I14" s="4">
        <f t="shared" si="0"/>
        <v>-16687458</v>
      </c>
      <c r="K14" s="58">
        <f t="shared" si="1"/>
        <v>8.8954619783705713E-4</v>
      </c>
      <c r="M14" s="4">
        <v>0</v>
      </c>
      <c r="N14" s="4"/>
      <c r="O14" s="4">
        <f>IFERROR(VLOOKUP(A14,'درآمد ناشی از تغییر قیمت  '!$A$7:$Q$27,17,0),0)</f>
        <v>32060740</v>
      </c>
      <c r="P14" s="4"/>
      <c r="Q14" s="4">
        <f>IFERROR(VLOOKUP(A14,'درآمد ناشی ازفروش'!$A$7:$Q$30,17,0),0)</f>
        <v>935700892</v>
      </c>
      <c r="R14" s="4"/>
      <c r="S14" s="4">
        <f t="shared" si="2"/>
        <v>967761632</v>
      </c>
      <c r="T14" s="67"/>
      <c r="U14" s="59">
        <f>S14/درآمدها!$J$4</f>
        <v>8.3677173593304427E-2</v>
      </c>
      <c r="V14" s="68"/>
      <c r="W14" s="68"/>
      <c r="X14" s="68"/>
    </row>
    <row r="15" spans="1:24" s="62" customFormat="1" ht="30.75">
      <c r="A15" s="142" t="s">
        <v>97</v>
      </c>
      <c r="C15" s="4">
        <v>0</v>
      </c>
      <c r="D15" s="4"/>
      <c r="E15" s="4">
        <f>IFERROR(VLOOKUP(A15,'درآمد ناشی از تغییر قیمت  '!$A$7:$Q$27,9,0),0)</f>
        <v>20133073</v>
      </c>
      <c r="F15" s="4"/>
      <c r="G15" s="4">
        <f>IFERROR(VLOOKUP(A15,'درآمد ناشی ازفروش'!$A$7:$I$29,9,0),0)</f>
        <v>-3645807</v>
      </c>
      <c r="H15" s="4"/>
      <c r="I15" s="4">
        <f t="shared" si="0"/>
        <v>16487266</v>
      </c>
      <c r="K15" s="58">
        <f t="shared" si="1"/>
        <v>-8.7887470836050554E-4</v>
      </c>
      <c r="M15" s="4">
        <v>0</v>
      </c>
      <c r="N15" s="4"/>
      <c r="O15" s="4">
        <f>IFERROR(VLOOKUP(A15,'درآمد ناشی از تغییر قیمت  '!$A$7:$Q$27,17,0),0)</f>
        <v>-110315172</v>
      </c>
      <c r="P15" s="4"/>
      <c r="Q15" s="4">
        <f>IFERROR(VLOOKUP(A15,'درآمد ناشی ازفروش'!$A$7:$Q$30,17,0),0)</f>
        <v>-226806725</v>
      </c>
      <c r="R15" s="4"/>
      <c r="S15" s="4">
        <f t="shared" si="2"/>
        <v>-337121897</v>
      </c>
      <c r="T15" s="67"/>
      <c r="U15" s="59">
        <f>S15/درآمدها!$J$4</f>
        <v>-2.9149127806477344E-2</v>
      </c>
      <c r="V15" s="68"/>
      <c r="W15" s="68"/>
      <c r="X15" s="68"/>
    </row>
    <row r="16" spans="1:24" s="62" customFormat="1" ht="30.75">
      <c r="A16" s="142" t="s">
        <v>109</v>
      </c>
      <c r="C16" s="4">
        <v>0</v>
      </c>
      <c r="D16" s="4"/>
      <c r="E16" s="4">
        <f>IFERROR(VLOOKUP(A16,'درآمد ناشی از تغییر قیمت  '!$A$7:$Q$27,9,0),0)</f>
        <v>-17933741937</v>
      </c>
      <c r="F16" s="4"/>
      <c r="G16" s="4">
        <f>IFERROR(VLOOKUP(A16,'درآمد ناشی ازفروش'!$A$7:$I$29,9,0),0)</f>
        <v>121472917</v>
      </c>
      <c r="H16" s="4"/>
      <c r="I16" s="4">
        <f t="shared" si="0"/>
        <v>-17812269020</v>
      </c>
      <c r="K16" s="58">
        <f t="shared" si="1"/>
        <v>0.94950568154789083</v>
      </c>
      <c r="M16" s="4">
        <v>0</v>
      </c>
      <c r="N16" s="4"/>
      <c r="O16" s="4">
        <f>IFERROR(VLOOKUP(A16,'درآمد ناشی از تغییر قیمت  '!$A$7:$Q$27,17,0),0)</f>
        <v>4283840198</v>
      </c>
      <c r="P16" s="4"/>
      <c r="Q16" s="4">
        <f>IFERROR(VLOOKUP(A16,'درآمد ناشی ازفروش'!$A$7:$Q$30,17,0),0)</f>
        <v>3652339422</v>
      </c>
      <c r="R16" s="4"/>
      <c r="S16" s="4">
        <f t="shared" si="2"/>
        <v>7936179620</v>
      </c>
      <c r="T16" s="67"/>
      <c r="U16" s="59">
        <f>S16/درآمدها!$J$4</f>
        <v>0.68619901613374235</v>
      </c>
      <c r="V16" s="68"/>
      <c r="W16" s="68"/>
      <c r="X16" s="68"/>
    </row>
    <row r="17" spans="1:24" s="62" customFormat="1" ht="30.75">
      <c r="A17" s="142" t="s">
        <v>114</v>
      </c>
      <c r="C17" s="4">
        <v>0</v>
      </c>
      <c r="D17" s="4"/>
      <c r="E17" s="4">
        <f>IFERROR(VLOOKUP(A17,'درآمد ناشی از تغییر قیمت  '!$A$7:$Q$27,9,0),0)</f>
        <v>23695807</v>
      </c>
      <c r="F17" s="4"/>
      <c r="G17" s="4">
        <f>IFERROR(VLOOKUP(A17,'درآمد ناشی ازفروش'!$A$7:$I$29,9,0),0)</f>
        <v>7309285</v>
      </c>
      <c r="H17" s="4"/>
      <c r="I17" s="4">
        <f t="shared" si="0"/>
        <v>31005092</v>
      </c>
      <c r="K17" s="58">
        <f t="shared" si="1"/>
        <v>-1.6527659097142391E-3</v>
      </c>
      <c r="M17" s="4">
        <v>0</v>
      </c>
      <c r="N17" s="4"/>
      <c r="O17" s="4">
        <f>IFERROR(VLOOKUP(A17,'درآمد ناشی از تغییر قیمت  '!$A$7:$Q$27,17,0),0)</f>
        <v>165871003</v>
      </c>
      <c r="P17" s="4"/>
      <c r="Q17" s="4">
        <f>IFERROR(VLOOKUP(A17,'درآمد ناشی ازفروش'!$A$7:$Q$30,17,0),0)</f>
        <v>67480026</v>
      </c>
      <c r="R17" s="4"/>
      <c r="S17" s="4">
        <f t="shared" si="2"/>
        <v>233351029</v>
      </c>
      <c r="T17" s="67"/>
      <c r="U17" s="59">
        <f>S17/درآمدها!$J$4</f>
        <v>2.0176615724531239E-2</v>
      </c>
      <c r="V17" s="68"/>
      <c r="W17" s="68"/>
      <c r="X17" s="68"/>
    </row>
    <row r="18" spans="1:24" s="62" customFormat="1" ht="30.75">
      <c r="A18" s="142" t="s">
        <v>108</v>
      </c>
      <c r="C18" s="4">
        <v>0</v>
      </c>
      <c r="D18" s="4"/>
      <c r="E18" s="4">
        <f>IFERROR(VLOOKUP(A18,'درآمد ناشی از تغییر قیمت  '!$A$7:$Q$27,9,0),0)</f>
        <v>98482969</v>
      </c>
      <c r="F18" s="4"/>
      <c r="G18" s="4">
        <f>IFERROR(VLOOKUP(A18,'درآمد ناشی ازفروش'!$A$7:$I$29,9,0),0)</f>
        <v>4922762</v>
      </c>
      <c r="H18" s="4"/>
      <c r="I18" s="4">
        <f t="shared" si="0"/>
        <v>103405731</v>
      </c>
      <c r="K18" s="58">
        <f t="shared" si="1"/>
        <v>-5.5121741637109449E-3</v>
      </c>
      <c r="M18" s="4">
        <v>0</v>
      </c>
      <c r="N18" s="4"/>
      <c r="O18" s="4">
        <f>IFERROR(VLOOKUP(A18,'درآمد ناشی از تغییر قیمت  '!$A$7:$Q$27,17,0),0)</f>
        <v>207830790</v>
      </c>
      <c r="P18" s="4"/>
      <c r="Q18" s="4">
        <f>IFERROR(VLOOKUP(A18,'درآمد ناشی ازفروش'!$A$7:$Q$30,17,0),0)</f>
        <v>69041732</v>
      </c>
      <c r="R18" s="4"/>
      <c r="S18" s="4">
        <f t="shared" si="2"/>
        <v>276872522</v>
      </c>
      <c r="T18" s="67"/>
      <c r="U18" s="59">
        <f>S18/درآمدها!$J$4</f>
        <v>2.3939686510128146E-2</v>
      </c>
      <c r="V18" s="68"/>
      <c r="W18" s="68"/>
      <c r="X18" s="68"/>
    </row>
    <row r="19" spans="1:24" s="62" customFormat="1" ht="30.75">
      <c r="A19" s="142" t="s">
        <v>113</v>
      </c>
      <c r="C19" s="4">
        <v>0</v>
      </c>
      <c r="D19" s="4"/>
      <c r="E19" s="4">
        <f>IFERROR(VLOOKUP(A19,'درآمد ناشی از تغییر قیمت  '!$A$7:$Q$27,9,0),0)</f>
        <v>0</v>
      </c>
      <c r="F19" s="4"/>
      <c r="G19" s="4">
        <f>IFERROR(VLOOKUP(A19,'درآمد ناشی ازفروش'!$A$7:$I$29,9,0),0)</f>
        <v>0</v>
      </c>
      <c r="H19" s="4"/>
      <c r="I19" s="4">
        <f t="shared" si="0"/>
        <v>0</v>
      </c>
      <c r="K19" s="58">
        <f t="shared" si="1"/>
        <v>0</v>
      </c>
      <c r="M19" s="4">
        <v>0</v>
      </c>
      <c r="N19" s="4"/>
      <c r="O19" s="4">
        <f>IFERROR(VLOOKUP(A19,'درآمد ناشی از تغییر قیمت  '!$A$7:$Q$27,17,0),0)</f>
        <v>0</v>
      </c>
      <c r="P19" s="4"/>
      <c r="Q19" s="4">
        <f>IFERROR(VLOOKUP(A19,'درآمد ناشی ازفروش'!$A$7:$Q$30,17,0),0)</f>
        <v>94815083</v>
      </c>
      <c r="R19" s="4"/>
      <c r="S19" s="4">
        <f t="shared" si="2"/>
        <v>94815083</v>
      </c>
      <c r="T19" s="67"/>
      <c r="U19" s="59">
        <f>S19/درآمدها!$J$4</f>
        <v>8.1981532405436056E-3</v>
      </c>
      <c r="V19" s="68"/>
      <c r="W19" s="68"/>
      <c r="X19" s="68"/>
    </row>
    <row r="20" spans="1:24" s="62" customFormat="1" ht="30.75">
      <c r="A20" s="142" t="s">
        <v>111</v>
      </c>
      <c r="C20" s="4">
        <v>0</v>
      </c>
      <c r="D20" s="4"/>
      <c r="E20" s="4">
        <f>IFERROR(VLOOKUP(A20,'درآمد ناشی از تغییر قیمت  '!$A$7:$Q$27,9,0),0)</f>
        <v>-16564571</v>
      </c>
      <c r="F20" s="4"/>
      <c r="G20" s="4">
        <f>IFERROR(VLOOKUP(A20,'درآمد ناشی ازفروش'!$A$7:$I$29,9,0),0)</f>
        <v>8684344</v>
      </c>
      <c r="H20" s="4"/>
      <c r="I20" s="4">
        <f t="shared" si="0"/>
        <v>-7880227</v>
      </c>
      <c r="K20" s="58">
        <f t="shared" si="1"/>
        <v>4.20065534603468E-4</v>
      </c>
      <c r="M20" s="4">
        <v>0</v>
      </c>
      <c r="N20" s="4"/>
      <c r="O20" s="4">
        <f>IFERROR(VLOOKUP(A20,'درآمد ناشی از تغییر قیمت  '!$A$7:$Q$27,17,0),0)</f>
        <v>251365427</v>
      </c>
      <c r="P20" s="4"/>
      <c r="Q20" s="4">
        <f>IFERROR(VLOOKUP(A20,'درآمد ناشی ازفروش'!$A$7:$Q$30,17,0),0)</f>
        <v>240079420</v>
      </c>
      <c r="R20" s="4"/>
      <c r="S20" s="4">
        <f t="shared" si="2"/>
        <v>491444847</v>
      </c>
      <c r="T20" s="67"/>
      <c r="U20" s="59">
        <f>S20/درآمدها!$J$4</f>
        <v>4.2492608111533332E-2</v>
      </c>
      <c r="V20" s="68"/>
      <c r="W20" s="68"/>
      <c r="X20" s="68"/>
    </row>
    <row r="21" spans="1:24" s="62" customFormat="1" ht="30.75">
      <c r="A21" s="142" t="s">
        <v>96</v>
      </c>
      <c r="C21" s="4">
        <v>0</v>
      </c>
      <c r="D21" s="4"/>
      <c r="E21" s="4">
        <f>IFERROR(VLOOKUP(A21,'درآمد ناشی از تغییر قیمت  '!$A$7:$Q$27,9,0),0)</f>
        <v>-892672755</v>
      </c>
      <c r="F21" s="4"/>
      <c r="G21" s="4">
        <f>IFERROR(VLOOKUP(A21,'درآمد ناشی ازفروش'!$A$7:$I$29,9,0),0)</f>
        <v>873893795</v>
      </c>
      <c r="H21" s="4"/>
      <c r="I21" s="4">
        <f t="shared" si="0"/>
        <v>-18778960</v>
      </c>
      <c r="K21" s="58">
        <f t="shared" si="1"/>
        <v>1.001036375182738E-3</v>
      </c>
      <c r="M21" s="4">
        <v>0</v>
      </c>
      <c r="N21" s="4"/>
      <c r="O21" s="4">
        <f>IFERROR(VLOOKUP(A21,'درآمد ناشی از تغییر قیمت  '!$A$7:$Q$27,17,0),0)</f>
        <v>0</v>
      </c>
      <c r="P21" s="4"/>
      <c r="Q21" s="4">
        <f>IFERROR(VLOOKUP(A21,'درآمد ناشی ازفروش'!$A$7:$Q$30,17,0),0)</f>
        <v>1167277212</v>
      </c>
      <c r="R21" s="4"/>
      <c r="S21" s="4">
        <f t="shared" si="2"/>
        <v>1167277212</v>
      </c>
      <c r="T21" s="67"/>
      <c r="U21" s="59">
        <f>S21/درآمدها!$J$4</f>
        <v>0.10092821896459769</v>
      </c>
      <c r="V21" s="68"/>
      <c r="W21" s="68"/>
      <c r="X21" s="68"/>
    </row>
    <row r="22" spans="1:24" s="62" customFormat="1" ht="30.75">
      <c r="A22" s="142" t="s">
        <v>98</v>
      </c>
      <c r="C22" s="4">
        <v>0</v>
      </c>
      <c r="D22" s="4"/>
      <c r="E22" s="4">
        <f>IFERROR(VLOOKUP(A22,'درآمد ناشی از تغییر قیمت  '!$A$7:$Q$27,9,0),0)</f>
        <v>-68645223</v>
      </c>
      <c r="F22" s="4"/>
      <c r="G22" s="4">
        <f>IFERROR(VLOOKUP(A22,'درآمد ناشی ازفروش'!$A$7:$I$29,9,0),0)</f>
        <v>42818228</v>
      </c>
      <c r="H22" s="4"/>
      <c r="I22" s="4">
        <f t="shared" si="0"/>
        <v>-25826995</v>
      </c>
      <c r="K22" s="58">
        <f t="shared" si="1"/>
        <v>1.3767408555459247E-3</v>
      </c>
      <c r="M22" s="4">
        <v>0</v>
      </c>
      <c r="N22" s="4"/>
      <c r="O22" s="4">
        <f>IFERROR(VLOOKUP(A22,'درآمد ناشی از تغییر قیمت  '!$A$7:$Q$27,17,0),0)</f>
        <v>443857407</v>
      </c>
      <c r="P22" s="4"/>
      <c r="Q22" s="4">
        <f>IFERROR(VLOOKUP(A22,'درآمد ناشی ازفروش'!$A$7:$Q$30,17,0),0)</f>
        <v>39259719</v>
      </c>
      <c r="R22" s="4"/>
      <c r="S22" s="4">
        <f t="shared" si="2"/>
        <v>483117126</v>
      </c>
      <c r="T22" s="67"/>
      <c r="U22" s="59">
        <f>S22/درآمدها!$J$4</f>
        <v>4.1772554605884943E-2</v>
      </c>
      <c r="V22" s="68"/>
      <c r="W22" s="68"/>
      <c r="X22" s="68"/>
    </row>
    <row r="23" spans="1:24" s="62" customFormat="1" ht="30.75">
      <c r="A23" s="142" t="s">
        <v>115</v>
      </c>
      <c r="C23" s="4">
        <v>0</v>
      </c>
      <c r="D23" s="4"/>
      <c r="E23" s="4">
        <f>IFERROR(VLOOKUP(A23,'درآمد ناشی از تغییر قیمت  '!$A$7:$Q$27,9,0),0)</f>
        <v>0</v>
      </c>
      <c r="F23" s="4"/>
      <c r="G23" s="4">
        <f>IFERROR(VLOOKUP(A23,'درآمد ناشی ازفروش'!$A$7:$I$29,9,0),0)</f>
        <v>0</v>
      </c>
      <c r="H23" s="4"/>
      <c r="I23" s="4">
        <f t="shared" si="0"/>
        <v>0</v>
      </c>
      <c r="K23" s="58">
        <f t="shared" si="1"/>
        <v>0</v>
      </c>
      <c r="M23" s="4">
        <v>0</v>
      </c>
      <c r="N23" s="4"/>
      <c r="O23" s="4">
        <f>IFERROR(VLOOKUP(A23,'درآمد ناشی از تغییر قیمت  '!$A$7:$Q$27,17,0),0)</f>
        <v>0</v>
      </c>
      <c r="P23" s="4"/>
      <c r="Q23" s="4">
        <f>IFERROR(VLOOKUP(A23,'درآمد ناشی ازفروش'!$A$7:$Q$30,17,0),0)</f>
        <v>-7895697</v>
      </c>
      <c r="R23" s="4"/>
      <c r="S23" s="4">
        <f t="shared" si="2"/>
        <v>-7895697</v>
      </c>
      <c r="T23" s="67"/>
      <c r="U23" s="59">
        <f>S23/درآمدها!$J$4</f>
        <v>-6.82698700447274E-4</v>
      </c>
      <c r="V23" s="68"/>
      <c r="W23" s="68"/>
      <c r="X23" s="68"/>
    </row>
    <row r="24" spans="1:24" s="62" customFormat="1" ht="30.75">
      <c r="A24" s="142" t="s">
        <v>101</v>
      </c>
      <c r="C24" s="4">
        <v>0</v>
      </c>
      <c r="D24" s="4"/>
      <c r="E24" s="4">
        <f>IFERROR(VLOOKUP(A24,'درآمد ناشی از تغییر قیمت  '!$A$7:$Q$27,9,0),0)</f>
        <v>237987905</v>
      </c>
      <c r="F24" s="4"/>
      <c r="G24" s="4">
        <f>IFERROR(VLOOKUP(A24,'درآمد ناشی ازفروش'!$A$7:$I$29,9,0),0)</f>
        <v>16774376</v>
      </c>
      <c r="H24" s="4"/>
      <c r="I24" s="4">
        <f t="shared" si="0"/>
        <v>254762281</v>
      </c>
      <c r="K24" s="58">
        <f t="shared" si="1"/>
        <v>-1.3580427792887685E-2</v>
      </c>
      <c r="M24" s="4">
        <v>0</v>
      </c>
      <c r="N24" s="4"/>
      <c r="O24" s="4">
        <f>IFERROR(VLOOKUP(A24,'درآمد ناشی از تغییر قیمت  '!$A$7:$Q$27,17,0),0)</f>
        <v>169279884</v>
      </c>
      <c r="P24" s="4"/>
      <c r="Q24" s="4">
        <f>IFERROR(VLOOKUP(A24,'درآمد ناشی ازفروش'!$A$7:$Q$30,17,0),0)</f>
        <v>-29122557</v>
      </c>
      <c r="R24" s="4"/>
      <c r="S24" s="4">
        <f t="shared" si="2"/>
        <v>140157327</v>
      </c>
      <c r="T24" s="67"/>
      <c r="U24" s="59">
        <f>S24/درآمدها!$J$4</f>
        <v>1.2118654629358704E-2</v>
      </c>
      <c r="V24" s="68"/>
      <c r="W24" s="68"/>
      <c r="X24" s="68"/>
    </row>
    <row r="25" spans="1:24" s="62" customFormat="1" ht="30.75">
      <c r="A25" s="142" t="s">
        <v>125</v>
      </c>
      <c r="C25" s="4">
        <v>0</v>
      </c>
      <c r="D25" s="4"/>
      <c r="E25" s="4">
        <f>IFERROR(VLOOKUP(A25,'درآمد ناشی از تغییر قیمت  '!$A$7:$Q$27,9,0),0)</f>
        <v>-546271841</v>
      </c>
      <c r="F25" s="4"/>
      <c r="G25" s="4">
        <f>IFERROR(VLOOKUP(A25,'درآمد ناشی ازفروش'!$A$7:$I$29,9,0),0)</f>
        <v>-126126493</v>
      </c>
      <c r="H25" s="4"/>
      <c r="I25" s="4">
        <f t="shared" si="0"/>
        <v>-672398334</v>
      </c>
      <c r="K25" s="58">
        <f t="shared" si="1"/>
        <v>3.5843049399235737E-2</v>
      </c>
      <c r="M25" s="4">
        <v>0</v>
      </c>
      <c r="N25" s="4"/>
      <c r="O25" s="4">
        <f>IFERROR(VLOOKUP(A25,'درآمد ناشی از تغییر قیمت  '!$A$7:$Q$27,17,0),0)</f>
        <v>-2636027919</v>
      </c>
      <c r="P25" s="4"/>
      <c r="Q25" s="4">
        <f>IFERROR(VLOOKUP(A25,'درآمد ناشی ازفروش'!$A$7:$Q$30,17,0),0)</f>
        <v>-126126493</v>
      </c>
      <c r="R25" s="4"/>
      <c r="S25" s="4">
        <f t="shared" si="2"/>
        <v>-2762154412</v>
      </c>
      <c r="T25" s="67"/>
      <c r="U25" s="59">
        <f>S25/درآمدها!$J$4</f>
        <v>-0.23882872246833994</v>
      </c>
      <c r="V25" s="68"/>
      <c r="W25" s="68"/>
      <c r="X25" s="68"/>
    </row>
    <row r="26" spans="1:24" s="62" customFormat="1" ht="30.75">
      <c r="A26" s="142" t="s">
        <v>99</v>
      </c>
      <c r="C26" s="4">
        <v>0</v>
      </c>
      <c r="D26" s="4"/>
      <c r="E26" s="4">
        <f>IFERROR(VLOOKUP(A26,'درآمد ناشی از تغییر قیمت  '!$A$7:$Q$27,9,0),0)</f>
        <v>291245477</v>
      </c>
      <c r="F26" s="4"/>
      <c r="G26" s="4">
        <f>IFERROR(VLOOKUP(A26,'درآمد ناشی ازفروش'!$A$7:$I$29,9,0),0)</f>
        <v>-23858884</v>
      </c>
      <c r="H26" s="4"/>
      <c r="I26" s="4">
        <f t="shared" si="0"/>
        <v>267386593</v>
      </c>
      <c r="K26" s="58">
        <f t="shared" si="1"/>
        <v>-1.4253382819345803E-2</v>
      </c>
      <c r="M26" s="4">
        <v>0</v>
      </c>
      <c r="N26" s="4"/>
      <c r="O26" s="4">
        <f>IFERROR(VLOOKUP(A26,'درآمد ناشی از تغییر قیمت  '!$A$7:$Q$27,17,0),0)</f>
        <v>128683830</v>
      </c>
      <c r="P26" s="4"/>
      <c r="Q26" s="4">
        <f>IFERROR(VLOOKUP(A26,'درآمد ناشی ازفروش'!$A$7:$Q$30,17,0),0)</f>
        <v>-130515741</v>
      </c>
      <c r="R26" s="4"/>
      <c r="S26" s="4">
        <f t="shared" si="2"/>
        <v>-1831911</v>
      </c>
      <c r="T26" s="67"/>
      <c r="U26" s="59">
        <f>S26/درآمدها!$J$4</f>
        <v>-1.5839554874447006E-4</v>
      </c>
      <c r="V26" s="68"/>
      <c r="W26" s="68"/>
      <c r="X26" s="68"/>
    </row>
    <row r="27" spans="1:24" s="62" customFormat="1" ht="30.75">
      <c r="A27" s="142" t="s">
        <v>112</v>
      </c>
      <c r="C27" s="4">
        <v>0</v>
      </c>
      <c r="D27" s="4"/>
      <c r="E27" s="4">
        <f>IFERROR(VLOOKUP(A27,'درآمد ناشی از تغییر قیمت  '!$A$7:$Q$27,9,0),0)</f>
        <v>-44331089</v>
      </c>
      <c r="F27" s="4"/>
      <c r="G27" s="4">
        <f>IFERROR(VLOOKUP(A27,'درآمد ناشی ازفروش'!$A$7:$I$29,9,0),0)</f>
        <v>62795840</v>
      </c>
      <c r="H27" s="4"/>
      <c r="I27" s="4">
        <f t="shared" si="0"/>
        <v>18464751</v>
      </c>
      <c r="K27" s="58">
        <f t="shared" si="1"/>
        <v>-9.8428706433646143E-4</v>
      </c>
      <c r="M27" s="4">
        <v>0</v>
      </c>
      <c r="N27" s="4"/>
      <c r="O27" s="4">
        <f>IFERROR(VLOOKUP(A27,'درآمد ناشی از تغییر قیمت  '!$A$7:$Q$27,17,0),0)</f>
        <v>264127836</v>
      </c>
      <c r="P27" s="4"/>
      <c r="Q27" s="4">
        <f>IFERROR(VLOOKUP(A27,'درآمد ناشی ازفروش'!$A$7:$Q$30,17,0),0)</f>
        <v>242998099</v>
      </c>
      <c r="R27" s="4"/>
      <c r="S27" s="4">
        <f t="shared" si="2"/>
        <v>507125935</v>
      </c>
      <c r="T27" s="67"/>
      <c r="U27" s="59">
        <f>S27/درآمدها!$J$4</f>
        <v>4.3848467942425952E-2</v>
      </c>
      <c r="V27" s="68"/>
      <c r="W27" s="68"/>
      <c r="X27" s="68"/>
    </row>
    <row r="28" spans="1:24" s="62" customFormat="1" ht="30.75">
      <c r="A28" s="142" t="s">
        <v>143</v>
      </c>
      <c r="C28" s="4">
        <v>0</v>
      </c>
      <c r="D28" s="4"/>
      <c r="E28" s="4">
        <f>IFERROR(VLOOKUP(A28,'درآمد ناشی از تغییر قیمت  '!$A$7:$Q$27,9,0),0)</f>
        <v>55016647</v>
      </c>
      <c r="F28" s="4"/>
      <c r="G28" s="4">
        <f>IFERROR(VLOOKUP(A28,'درآمد ناشی ازفروش'!$A$7:$I$29,9,0),0)</f>
        <v>-740024</v>
      </c>
      <c r="H28" s="4"/>
      <c r="I28" s="4">
        <f t="shared" si="0"/>
        <v>54276623</v>
      </c>
      <c r="K28" s="58">
        <f t="shared" si="1"/>
        <v>-2.8932845027136765E-3</v>
      </c>
      <c r="M28" s="4">
        <v>0</v>
      </c>
      <c r="N28" s="4"/>
      <c r="O28" s="4">
        <f>IFERROR(VLOOKUP(A28,'درآمد ناشی از تغییر قیمت  '!$A$7:$Q$27,17,0),0)</f>
        <v>55016647</v>
      </c>
      <c r="P28" s="4"/>
      <c r="Q28" s="4">
        <f>IFERROR(VLOOKUP(A28,'درآمد ناشی ازفروش'!$A$7:$Q$30,17,0),0)</f>
        <v>-740024</v>
      </c>
      <c r="R28" s="4"/>
      <c r="S28" s="4">
        <f t="shared" si="2"/>
        <v>54276623</v>
      </c>
      <c r="T28" s="67"/>
      <c r="U28" s="59">
        <f>S28/درآمدها!$J$4</f>
        <v>4.6930093678577865E-3</v>
      </c>
      <c r="V28" s="68"/>
      <c r="W28" s="68"/>
      <c r="X28" s="68"/>
    </row>
    <row r="29" spans="1:24" s="62" customFormat="1" ht="61.5">
      <c r="A29" s="142" t="s">
        <v>110</v>
      </c>
      <c r="C29" s="4">
        <v>0</v>
      </c>
      <c r="D29" s="4"/>
      <c r="E29" s="4">
        <f>IFERROR(VLOOKUP(A29,'درآمد ناشی از تغییر قیمت  '!$A$7:$Q$27,9,0),0)</f>
        <v>0</v>
      </c>
      <c r="F29" s="4"/>
      <c r="G29" s="4">
        <f>IFERROR(VLOOKUP(A29,'درآمد ناشی ازفروش'!$A$7:$I$29,9,0),0)</f>
        <v>0</v>
      </c>
      <c r="H29" s="4"/>
      <c r="I29" s="4">
        <f t="shared" si="0"/>
        <v>0</v>
      </c>
      <c r="K29" s="58">
        <f t="shared" si="1"/>
        <v>0</v>
      </c>
      <c r="M29" s="4">
        <v>0</v>
      </c>
      <c r="N29" s="4"/>
      <c r="O29" s="4">
        <f>IFERROR(VLOOKUP(A29,'درآمد ناشی از تغییر قیمت  '!$A$7:$Q$27,17,0),0)</f>
        <v>0</v>
      </c>
      <c r="P29" s="4"/>
      <c r="Q29" s="4">
        <f>IFERROR(VLOOKUP(A29,'درآمد ناشی ازفروش'!$A$7:$Q$30,17,0),0)</f>
        <v>235633818</v>
      </c>
      <c r="R29" s="4"/>
      <c r="S29" s="4">
        <f t="shared" si="2"/>
        <v>235633818</v>
      </c>
      <c r="T29" s="67"/>
      <c r="U29" s="59">
        <f>S29/درآمدها!$J$4</f>
        <v>2.0373996283042456E-2</v>
      </c>
      <c r="V29" s="68"/>
      <c r="W29" s="68"/>
      <c r="X29" s="68"/>
    </row>
    <row r="30" spans="1:24" s="62" customFormat="1" ht="30.75">
      <c r="A30" s="142" t="s">
        <v>102</v>
      </c>
      <c r="C30" s="4">
        <v>0</v>
      </c>
      <c r="D30" s="4"/>
      <c r="E30" s="4">
        <f>IFERROR(VLOOKUP(A30,'درآمد ناشی از تغییر قیمت  '!$A$7:$Q$27,9,0),0)</f>
        <v>-72632442</v>
      </c>
      <c r="F30" s="4"/>
      <c r="G30" s="4">
        <f>IFERROR(VLOOKUP(A30,'درآمد ناشی ازفروش'!$A$7:$I$29,9,0),0)</f>
        <v>-58491908</v>
      </c>
      <c r="H30" s="4"/>
      <c r="I30" s="4">
        <f t="shared" si="0"/>
        <v>-131124350</v>
      </c>
      <c r="K30" s="58">
        <f t="shared" si="1"/>
        <v>6.9897504452958335E-3</v>
      </c>
      <c r="M30" s="4">
        <v>0</v>
      </c>
      <c r="N30" s="4"/>
      <c r="O30" s="4">
        <f>IFERROR(VLOOKUP(A30,'درآمد ناشی از تغییر قیمت  '!$A$7:$Q$27,17,0),0)</f>
        <v>-438985684</v>
      </c>
      <c r="P30" s="4"/>
      <c r="Q30" s="4">
        <f>IFERROR(VLOOKUP(A30,'درآمد ناشی ازفروش'!$A$7:$Q$30,17,0),0)</f>
        <v>-223503706</v>
      </c>
      <c r="R30" s="4"/>
      <c r="S30" s="4">
        <f t="shared" si="2"/>
        <v>-662489390</v>
      </c>
      <c r="T30" s="67"/>
      <c r="U30" s="59">
        <f>S30/درآمدها!$J$4</f>
        <v>-5.7281915151139569E-2</v>
      </c>
      <c r="V30" s="68"/>
      <c r="W30" s="68"/>
      <c r="X30" s="68"/>
    </row>
    <row r="31" spans="1:24" s="62" customFormat="1" ht="30.75">
      <c r="A31" s="142" t="s">
        <v>124</v>
      </c>
      <c r="C31" s="4">
        <v>0</v>
      </c>
      <c r="D31" s="4"/>
      <c r="E31" s="4">
        <f>IFERROR(VLOOKUP(A31,'درآمد ناشی از تغییر قیمت  '!$A$7:$Q$27,9,0),0)</f>
        <v>-5647187</v>
      </c>
      <c r="F31" s="4"/>
      <c r="G31" s="4">
        <f>IFERROR(VLOOKUP(A31,'درآمد ناشی ازفروش'!$A$7:$I$29,9,0),0)</f>
        <v>-3343439</v>
      </c>
      <c r="H31" s="4"/>
      <c r="I31" s="4">
        <f t="shared" si="0"/>
        <v>-8990626</v>
      </c>
      <c r="K31" s="58">
        <f t="shared" si="1"/>
        <v>4.7925676723650719E-4</v>
      </c>
      <c r="M31" s="4">
        <v>0</v>
      </c>
      <c r="N31" s="4"/>
      <c r="O31" s="4">
        <f>IFERROR(VLOOKUP(A31,'درآمد ناشی از تغییر قیمت  '!$A$7:$Q$27,17,0),0)</f>
        <v>-63422515</v>
      </c>
      <c r="P31" s="4"/>
      <c r="Q31" s="4">
        <f>IFERROR(VLOOKUP(A31,'درآمد ناشی ازفروش'!$A$7:$Q$30,17,0),0)</f>
        <v>-3343439</v>
      </c>
      <c r="R31" s="4"/>
      <c r="S31" s="4">
        <f t="shared" si="2"/>
        <v>-66765954</v>
      </c>
      <c r="T31" s="67"/>
      <c r="U31" s="59">
        <f>S31/درآمدها!$J$4</f>
        <v>-5.7728950376290371E-3</v>
      </c>
      <c r="V31" s="68"/>
      <c r="W31" s="68"/>
      <c r="X31" s="68"/>
    </row>
    <row r="32" spans="1:24" s="143" customFormat="1" ht="25.5" customHeight="1" thickBot="1">
      <c r="C32" s="144">
        <f>SUM(C11:C31)</f>
        <v>0</v>
      </c>
      <c r="D32" s="145">
        <v>0</v>
      </c>
      <c r="E32" s="144">
        <f>SUM(E11:E31)</f>
        <v>-19623277004</v>
      </c>
      <c r="F32" s="145">
        <v>0</v>
      </c>
      <c r="G32" s="144">
        <f>SUM(G11:G31)</f>
        <v>1407383404</v>
      </c>
      <c r="H32" s="145">
        <v>0</v>
      </c>
      <c r="I32" s="144">
        <f>SUM(I11:I31)</f>
        <v>-18215893600</v>
      </c>
      <c r="J32" s="146">
        <v>0</v>
      </c>
      <c r="K32" s="147">
        <f>SUM(K11:K31)</f>
        <v>0.97102140374432</v>
      </c>
      <c r="M32" s="144">
        <f>SUM(M11:M31)</f>
        <v>0</v>
      </c>
      <c r="N32" s="4"/>
      <c r="O32" s="144">
        <f>SUM(O11:O31)</f>
        <v>4825141274</v>
      </c>
      <c r="P32" s="4"/>
      <c r="Q32" s="144">
        <f>SUM(Q11:Q31)</f>
        <v>6669925705</v>
      </c>
      <c r="R32" s="4"/>
      <c r="S32" s="144">
        <f>SUM(S11:S31)</f>
        <v>11495066979</v>
      </c>
      <c r="T32" s="146"/>
      <c r="U32" s="147">
        <f>SUM(U11:U31)</f>
        <v>0.99391697631224607</v>
      </c>
    </row>
    <row r="33" spans="4:20" ht="25.5" customHeight="1" thickTop="1">
      <c r="D33" s="4">
        <v>0</v>
      </c>
      <c r="F33" s="4">
        <v>0</v>
      </c>
      <c r="H33" s="4">
        <v>0</v>
      </c>
      <c r="J33" s="67">
        <v>0</v>
      </c>
      <c r="L33" s="62"/>
      <c r="N33" s="4"/>
      <c r="O33" s="148"/>
      <c r="P33" s="4"/>
      <c r="Q33" s="148"/>
      <c r="R33" s="4"/>
      <c r="S33" s="148"/>
      <c r="T33" s="148"/>
    </row>
    <row r="34" spans="4:20" s="44" customFormat="1" ht="33"/>
    <row r="35" spans="4:20" s="44" customFormat="1" ht="33">
      <c r="O35" s="35"/>
    </row>
    <row r="36" spans="4:20" s="44" customFormat="1" ht="33"/>
    <row r="40" spans="4:20" ht="33">
      <c r="D40" s="150"/>
      <c r="E40" s="45"/>
      <c r="F40" s="45"/>
      <c r="G40" s="45"/>
      <c r="H40" s="151"/>
    </row>
  </sheetData>
  <autoFilter ref="A10:U10" xr:uid="{00000000-0009-0000-0000-000009000000}">
    <sortState xmlns:xlrd2="http://schemas.microsoft.com/office/spreadsheetml/2017/richdata2" ref="A13:U53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Q21"/>
  <sheetViews>
    <sheetView rightToLeft="1" view="pageBreakPreview" zoomScaleNormal="100" zoomScaleSheetLayoutView="100" workbookViewId="0">
      <selection activeCell="M17" sqref="M17"/>
    </sheetView>
  </sheetViews>
  <sheetFormatPr defaultColWidth="9.140625" defaultRowHeight="21.75"/>
  <cols>
    <col min="1" max="1" width="32.5703125" style="83" customWidth="1"/>
    <col min="2" max="2" width="0.42578125" style="83" customWidth="1"/>
    <col min="3" max="3" width="17.5703125" style="83" bestFit="1" customWidth="1"/>
    <col min="4" max="4" width="0.7109375" style="83" customWidth="1"/>
    <col min="5" max="5" width="20.140625" style="83" bestFit="1" customWidth="1"/>
    <col min="6" max="6" width="0.5703125" style="83" customWidth="1"/>
    <col min="7" max="7" width="17.5703125" style="83" bestFit="1" customWidth="1"/>
    <col min="8" max="8" width="0.5703125" style="83" customWidth="1"/>
    <col min="9" max="9" width="19.5703125" style="83" bestFit="1" customWidth="1"/>
    <col min="10" max="10" width="0.42578125" style="83" customWidth="1"/>
    <col min="11" max="11" width="17.5703125" style="83" bestFit="1" customWidth="1"/>
    <col min="12" max="12" width="0.5703125" style="83" customWidth="1"/>
    <col min="13" max="13" width="20.140625" style="83" bestFit="1" customWidth="1"/>
    <col min="14" max="14" width="0.85546875" style="83" customWidth="1"/>
    <col min="15" max="15" width="19.28515625" style="83" bestFit="1" customWidth="1"/>
    <col min="16" max="16" width="0.5703125" style="83" customWidth="1"/>
    <col min="17" max="17" width="20.140625" style="83" bestFit="1" customWidth="1"/>
    <col min="18" max="18" width="9.140625" style="83"/>
    <col min="19" max="19" width="13.7109375" style="83" bestFit="1" customWidth="1"/>
    <col min="20" max="16384" width="9.140625" style="83"/>
  </cols>
  <sheetData>
    <row r="1" spans="1:17" ht="21" customHeight="1">
      <c r="A1" s="261" t="s">
        <v>94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ht="18" customHeight="1">
      <c r="A2" s="261" t="s">
        <v>57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</row>
    <row r="3" spans="1:17" ht="19.5" customHeight="1">
      <c r="A3" s="261" t="str">
        <f>' سهام'!A3:W3</f>
        <v>برای ماه منتهی به 1402/10/30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</row>
    <row r="4" spans="1:17">
      <c r="A4" s="249" t="s">
        <v>29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</row>
    <row r="5" spans="1:17" ht="4.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17" ht="22.5" customHeight="1" thickBot="1">
      <c r="A6" s="161"/>
      <c r="B6" s="162"/>
      <c r="C6" s="261" t="str" cm="1">
        <f t="array" ref="C6:G6">'سود اوراق بهادار و سپرده بانکی'!H5:L5</f>
        <v>طی دی ماه</v>
      </c>
      <c r="D6" s="261">
        <v>0</v>
      </c>
      <c r="E6" s="261">
        <v>0</v>
      </c>
      <c r="F6" s="261">
        <v>0</v>
      </c>
      <c r="G6" s="261">
        <v>0</v>
      </c>
      <c r="H6" s="261"/>
      <c r="I6" s="261"/>
      <c r="J6" s="211"/>
      <c r="K6" s="295" t="str" cm="1">
        <f t="array" ref="K6:O6">'سود اوراق بهادار و سپرده بانکی'!N5:R5</f>
        <v>از ابتدای سال مالی تا پایان دی ماه</v>
      </c>
      <c r="L6" s="295">
        <v>0</v>
      </c>
      <c r="M6" s="295">
        <v>0</v>
      </c>
      <c r="N6" s="295">
        <v>0</v>
      </c>
      <c r="O6" s="295">
        <v>0</v>
      </c>
      <c r="P6" s="295"/>
      <c r="Q6" s="295"/>
    </row>
    <row r="7" spans="1:17" ht="15.75" customHeight="1">
      <c r="A7" s="290"/>
      <c r="B7" s="291"/>
      <c r="C7" s="292" t="s">
        <v>15</v>
      </c>
      <c r="D7" s="292"/>
      <c r="E7" s="292" t="s">
        <v>13</v>
      </c>
      <c r="F7" s="290"/>
      <c r="G7" s="292" t="s">
        <v>14</v>
      </c>
      <c r="H7" s="290"/>
      <c r="I7" s="292" t="s">
        <v>2</v>
      </c>
      <c r="J7" s="210"/>
      <c r="K7" s="292" t="s">
        <v>15</v>
      </c>
      <c r="L7" s="292"/>
      <c r="M7" s="292" t="s">
        <v>13</v>
      </c>
      <c r="N7" s="290"/>
      <c r="O7" s="292" t="s">
        <v>14</v>
      </c>
      <c r="P7" s="290"/>
      <c r="Q7" s="292" t="s">
        <v>2</v>
      </c>
    </row>
    <row r="8" spans="1:17" ht="12" customHeight="1">
      <c r="A8" s="291"/>
      <c r="B8" s="291"/>
      <c r="C8" s="293"/>
      <c r="D8" s="293"/>
      <c r="E8" s="293"/>
      <c r="F8" s="291"/>
      <c r="G8" s="293"/>
      <c r="H8" s="291"/>
      <c r="I8" s="293"/>
      <c r="J8" s="210"/>
      <c r="K8" s="293"/>
      <c r="L8" s="293"/>
      <c r="M8" s="293"/>
      <c r="N8" s="291"/>
      <c r="O8" s="293"/>
      <c r="P8" s="291"/>
      <c r="Q8" s="293"/>
    </row>
    <row r="9" spans="1:17" ht="14.25" customHeight="1" thickBot="1">
      <c r="A9" s="291"/>
      <c r="B9" s="291"/>
      <c r="C9" s="185" t="s">
        <v>67</v>
      </c>
      <c r="D9" s="293"/>
      <c r="E9" s="185" t="s">
        <v>62</v>
      </c>
      <c r="F9" s="291"/>
      <c r="G9" s="185" t="s">
        <v>63</v>
      </c>
      <c r="H9" s="291"/>
      <c r="I9" s="294"/>
      <c r="J9" s="163"/>
      <c r="K9" s="185" t="s">
        <v>67</v>
      </c>
      <c r="L9" s="293"/>
      <c r="M9" s="185" t="s">
        <v>62</v>
      </c>
      <c r="N9" s="291"/>
      <c r="O9" s="185" t="s">
        <v>63</v>
      </c>
      <c r="P9" s="291"/>
      <c r="Q9" s="294"/>
    </row>
    <row r="10" spans="1:17" ht="21" customHeight="1">
      <c r="A10" s="79" t="s">
        <v>127</v>
      </c>
      <c r="B10" s="86"/>
      <c r="C10" s="17">
        <v>0</v>
      </c>
      <c r="D10" s="17"/>
      <c r="E10" s="17">
        <f>VLOOKUP(A10,'درآمد ناشی از تغییر قیمت  '!$A$7:$Q$27,9,0)</f>
        <v>-130828470</v>
      </c>
      <c r="F10" s="17"/>
      <c r="G10" s="17">
        <f>IFERROR(VLOOKUP(A10,'درآمد ناشی ازفروش'!$A$7:$I$29,9,0),0)</f>
        <v>5803941</v>
      </c>
      <c r="H10" s="17"/>
      <c r="I10" s="17">
        <f>C10+E10+G10</f>
        <v>-125024529</v>
      </c>
      <c r="J10" s="17"/>
      <c r="K10" s="17">
        <v>0</v>
      </c>
      <c r="L10" s="17"/>
      <c r="M10" s="17">
        <f>VLOOKUP(A10,'درآمد ناشی از تغییر قیمت  '!$A$7:$Q$25,17,0)</f>
        <v>-100830148</v>
      </c>
      <c r="N10" s="17"/>
      <c r="O10" s="17">
        <f>IFERROR(VLOOKUP(A10,'درآمد ناشی ازفروش'!$A$7:$Q$30,17,0),0)</f>
        <v>5803941</v>
      </c>
      <c r="P10" s="17"/>
      <c r="Q10" s="17">
        <f>K10+M10+O10</f>
        <v>-95026207</v>
      </c>
    </row>
    <row r="11" spans="1:17" ht="21" customHeight="1">
      <c r="A11" s="79" t="s">
        <v>128</v>
      </c>
      <c r="B11" s="86"/>
      <c r="C11" s="17">
        <v>0</v>
      </c>
      <c r="D11" s="17"/>
      <c r="E11" s="17">
        <f>VLOOKUP(A11,'درآمد ناشی از تغییر قیمت  '!$A$7:$Q$27,9,0)</f>
        <v>-162057621</v>
      </c>
      <c r="F11" s="17"/>
      <c r="G11" s="17">
        <f>IFERROR(VLOOKUP(A11,'درآمد ناشی ازفروش'!$A$7:$I$29,9,0),0)</f>
        <v>0</v>
      </c>
      <c r="H11" s="17"/>
      <c r="I11" s="17">
        <f t="shared" ref="I11:I13" si="0">C11+E11+G11</f>
        <v>-162057621</v>
      </c>
      <c r="J11" s="17"/>
      <c r="K11" s="17">
        <v>0</v>
      </c>
      <c r="L11" s="17"/>
      <c r="M11" s="17">
        <f>VLOOKUP(A11,'درآمد ناشی از تغییر قیمت  '!$A$7:$Q$25,17,0)</f>
        <v>-164171402</v>
      </c>
      <c r="N11" s="17"/>
      <c r="O11" s="17">
        <f>IFERROR(VLOOKUP(A11,'درآمد ناشی ازفروش'!$A$7:$Q$30,17,0),0)</f>
        <v>0</v>
      </c>
      <c r="P11" s="17"/>
      <c r="Q11" s="17">
        <f t="shared" ref="Q11:Q13" si="1">K11+M11+O11</f>
        <v>-164171402</v>
      </c>
    </row>
    <row r="12" spans="1:17" ht="21" customHeight="1">
      <c r="A12" s="79" t="s">
        <v>118</v>
      </c>
      <c r="B12" s="86"/>
      <c r="C12" s="17">
        <v>0</v>
      </c>
      <c r="D12" s="17"/>
      <c r="E12" s="17">
        <f>VLOOKUP(A12,'درآمد ناشی از تغییر قیمت  '!$A$7:$Q$27,9,0)</f>
        <v>-25224958</v>
      </c>
      <c r="F12" s="17"/>
      <c r="G12" s="17">
        <f>IFERROR(VLOOKUP(A12,'درآمد ناشی ازفروش'!$A$7:$I$29,9,0),0)</f>
        <v>19011097</v>
      </c>
      <c r="H12" s="17"/>
      <c r="I12" s="17">
        <f t="shared" si="0"/>
        <v>-6213861</v>
      </c>
      <c r="J12" s="17"/>
      <c r="K12" s="17">
        <v>0</v>
      </c>
      <c r="L12" s="17"/>
      <c r="M12" s="17">
        <f>VLOOKUP(A12,'درآمد ناشی از تغییر قیمت  '!$A$7:$Q$25,17,0)</f>
        <v>7767887</v>
      </c>
      <c r="N12" s="17"/>
      <c r="O12" s="17">
        <f>IFERROR(VLOOKUP(A12,'درآمد ناشی ازفروش'!$A$7:$Q$30,17,0),0)</f>
        <v>21079396</v>
      </c>
      <c r="P12" s="17"/>
      <c r="Q12" s="17">
        <f t="shared" si="1"/>
        <v>28847283</v>
      </c>
    </row>
    <row r="13" spans="1:17" ht="21" customHeight="1">
      <c r="A13" s="79" t="s">
        <v>129</v>
      </c>
      <c r="B13" s="86"/>
      <c r="C13" s="17">
        <v>0</v>
      </c>
      <c r="D13" s="17"/>
      <c r="E13" s="17">
        <f>VLOOKUP(A13,'درآمد ناشی از تغییر قیمت  '!$A$7:$Q$27,9,0)</f>
        <v>-335456187</v>
      </c>
      <c r="F13" s="17"/>
      <c r="G13" s="17">
        <f>IFERROR(VLOOKUP(A13,'درآمد ناشی ازفروش'!$A$7:$I$29,9,0),0)</f>
        <v>0</v>
      </c>
      <c r="H13" s="17"/>
      <c r="I13" s="17">
        <f t="shared" si="0"/>
        <v>-335456187</v>
      </c>
      <c r="J13" s="17"/>
      <c r="K13" s="17">
        <v>0</v>
      </c>
      <c r="L13" s="17"/>
      <c r="M13" s="17">
        <f>VLOOKUP(A13,'درآمد ناشی از تغییر قیمت  '!$A$7:$Q$25,17,0)</f>
        <v>-313771060</v>
      </c>
      <c r="N13" s="17"/>
      <c r="O13" s="17">
        <f>IFERROR(VLOOKUP(A13,'درآمد ناشی ازفروش'!$A$7:$Q$30,17,0),0)</f>
        <v>0</v>
      </c>
      <c r="P13" s="17"/>
      <c r="Q13" s="17">
        <f t="shared" si="1"/>
        <v>-313771060</v>
      </c>
    </row>
    <row r="14" spans="1:17" ht="21" customHeight="1" thickBot="1">
      <c r="A14" s="155" t="s">
        <v>2</v>
      </c>
      <c r="B14" s="156"/>
      <c r="C14" s="186">
        <f>SUM(C10:C13)</f>
        <v>0</v>
      </c>
      <c r="D14" s="187">
        <f t="shared" ref="D14:P14" si="2">SUM(D10:D10)</f>
        <v>0</v>
      </c>
      <c r="E14" s="186">
        <f>SUM(E10:E13)</f>
        <v>-653567236</v>
      </c>
      <c r="F14" s="187">
        <f t="shared" si="2"/>
        <v>0</v>
      </c>
      <c r="G14" s="186">
        <f>SUM(G10:G13)</f>
        <v>24815038</v>
      </c>
      <c r="H14" s="187">
        <f t="shared" si="2"/>
        <v>0</v>
      </c>
      <c r="I14" s="186">
        <f>SUM(I10:I13)</f>
        <v>-628752198</v>
      </c>
      <c r="J14" s="187">
        <f t="shared" si="2"/>
        <v>0</v>
      </c>
      <c r="K14" s="186">
        <f>SUM(K10:K13)</f>
        <v>0</v>
      </c>
      <c r="L14" s="187">
        <f t="shared" si="2"/>
        <v>0</v>
      </c>
      <c r="M14" s="186">
        <f>SUM(M10:M13)</f>
        <v>-571004723</v>
      </c>
      <c r="N14" s="187">
        <f t="shared" si="2"/>
        <v>0</v>
      </c>
      <c r="O14" s="186">
        <f>SUM(O10:O13)</f>
        <v>26883337</v>
      </c>
      <c r="P14" s="187">
        <f t="shared" si="2"/>
        <v>0</v>
      </c>
      <c r="Q14" s="186">
        <f>SUM(Q10:Q13)</f>
        <v>-544121386</v>
      </c>
    </row>
    <row r="15" spans="1:17" ht="22.5" thickTop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</row>
    <row r="16" spans="1:17" s="17" customFormat="1"/>
    <row r="17" spans="15:17" s="17" customFormat="1"/>
    <row r="18" spans="15:17" s="17" customFormat="1"/>
    <row r="20" spans="15:17">
      <c r="O20" s="159"/>
      <c r="Q20" s="159"/>
    </row>
    <row r="21" spans="15:17">
      <c r="O21" s="117"/>
      <c r="Q21" s="117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N15"/>
  <sheetViews>
    <sheetView rightToLeft="1" view="pageBreakPreview" zoomScaleNormal="100" zoomScaleSheetLayoutView="100" workbookViewId="0">
      <selection activeCell="N8" sqref="N8"/>
    </sheetView>
  </sheetViews>
  <sheetFormatPr defaultColWidth="9.140625" defaultRowHeight="21.75"/>
  <cols>
    <col min="1" max="1" width="35.85546875" style="83" bestFit="1" customWidth="1"/>
    <col min="2" max="2" width="0.7109375" style="83" customWidth="1"/>
    <col min="3" max="3" width="22.85546875" style="83" customWidth="1"/>
    <col min="4" max="4" width="0.7109375" style="83" customWidth="1"/>
    <col min="5" max="5" width="18.42578125" style="49" customWidth="1"/>
    <col min="6" max="6" width="1.42578125" style="49" customWidth="1"/>
    <col min="7" max="7" width="21.7109375" style="49" customWidth="1"/>
    <col min="8" max="8" width="1.42578125" style="49" customWidth="1"/>
    <col min="9" max="9" width="26.140625" style="49" customWidth="1"/>
    <col min="10" max="10" width="1.28515625" style="83" customWidth="1"/>
    <col min="11" max="11" width="22" style="83" customWidth="1"/>
    <col min="12" max="12" width="0.7109375" style="83" customWidth="1"/>
    <col min="13" max="13" width="9.7109375" style="83" customWidth="1"/>
    <col min="14" max="14" width="15.42578125" style="83" bestFit="1" customWidth="1"/>
    <col min="15" max="16384" width="9.140625" style="83"/>
  </cols>
  <sheetData>
    <row r="1" spans="1:14" ht="22.5">
      <c r="A1" s="261" t="s">
        <v>94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4" ht="22.5">
      <c r="A2" s="261" t="s">
        <v>57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4" ht="22.5">
      <c r="A3" s="261" t="str">
        <f>' سهام'!A3:W3</f>
        <v>برای ماه منتهی به 1402/10/30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</row>
    <row r="4" spans="1:14">
      <c r="A4" s="249" t="s">
        <v>30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</row>
    <row r="5" spans="1:14" ht="22.5" thickBot="1">
      <c r="A5" s="73"/>
      <c r="B5" s="73"/>
      <c r="C5" s="73"/>
      <c r="D5" s="72"/>
      <c r="E5" s="11"/>
      <c r="F5" s="11"/>
      <c r="G5" s="11"/>
      <c r="H5" s="11"/>
      <c r="I5" s="11"/>
      <c r="J5" s="73"/>
      <c r="K5" s="73"/>
      <c r="L5" s="73"/>
    </row>
    <row r="6" spans="1:14" ht="37.5" customHeight="1" thickBot="1">
      <c r="A6" s="296" t="s">
        <v>20</v>
      </c>
      <c r="B6" s="296"/>
      <c r="C6" s="296"/>
      <c r="D6" s="211"/>
      <c r="E6" s="297" t="s">
        <v>141</v>
      </c>
      <c r="F6" s="297"/>
      <c r="G6" s="297"/>
      <c r="H6" s="297"/>
      <c r="I6" s="296" t="s">
        <v>142</v>
      </c>
      <c r="J6" s="296"/>
      <c r="K6" s="296"/>
      <c r="L6" s="296"/>
    </row>
    <row r="7" spans="1:14" ht="37.5">
      <c r="A7" s="152" t="s">
        <v>16</v>
      </c>
      <c r="B7" s="211"/>
      <c r="C7" s="152" t="s">
        <v>9</v>
      </c>
      <c r="D7" s="210"/>
      <c r="E7" s="46" t="s">
        <v>17</v>
      </c>
      <c r="F7" s="47"/>
      <c r="G7" s="46" t="s">
        <v>18</v>
      </c>
      <c r="H7" s="48"/>
      <c r="I7" s="46" t="s">
        <v>17</v>
      </c>
      <c r="J7" s="211"/>
      <c r="K7" s="152" t="s">
        <v>18</v>
      </c>
      <c r="L7" s="211"/>
    </row>
    <row r="8" spans="1:14" ht="27" customHeight="1">
      <c r="A8" s="153" t="s">
        <v>103</v>
      </c>
      <c r="B8" s="86"/>
      <c r="C8" s="80" t="s">
        <v>117</v>
      </c>
      <c r="D8" s="86"/>
      <c r="E8" s="13">
        <f>VLOOKUP(A8,'سود اوراق بهادار و سپرده بانکی'!$A$7:$R$8,8,0)</f>
        <v>443615</v>
      </c>
      <c r="F8" s="86"/>
      <c r="G8" s="154">
        <f>E8/$E$10</f>
        <v>0.98321760157096727</v>
      </c>
      <c r="H8" s="86"/>
      <c r="I8" s="13">
        <f>VLOOKUP(A8,'سود اوراق بهادار و سپرده بانکی'!$A$7:$R$8,18,0)</f>
        <v>628089</v>
      </c>
      <c r="J8" s="86"/>
      <c r="K8" s="154">
        <f>I8/$I$10</f>
        <v>0.9651904521153577</v>
      </c>
      <c r="L8" s="211"/>
      <c r="M8" s="117"/>
      <c r="N8" s="117"/>
    </row>
    <row r="9" spans="1:14" ht="27" customHeight="1" thickBot="1">
      <c r="A9" s="153" t="s">
        <v>104</v>
      </c>
      <c r="B9" s="86"/>
      <c r="C9" s="80" t="s">
        <v>105</v>
      </c>
      <c r="D9" s="86"/>
      <c r="E9" s="13">
        <f>VLOOKUP(A9,'سود اوراق بهادار و سپرده بانکی'!$A$7:$R$8,8,0)</f>
        <v>7572</v>
      </c>
      <c r="F9" s="86"/>
      <c r="G9" s="154">
        <f>E9/$E$10</f>
        <v>1.6782398429032751E-2</v>
      </c>
      <c r="H9" s="86"/>
      <c r="I9" s="13">
        <f>VLOOKUP(A9,'سود اوراق بهادار و سپرده بانکی'!$A$7:$R$8,18,0)</f>
        <v>22652</v>
      </c>
      <c r="J9" s="86"/>
      <c r="K9" s="154">
        <f>I9/$I$10</f>
        <v>3.4809547884642279E-2</v>
      </c>
      <c r="L9" s="211"/>
      <c r="M9" s="117"/>
      <c r="N9" s="117"/>
    </row>
    <row r="10" spans="1:14" ht="22.5" thickBot="1">
      <c r="A10" s="155" t="s">
        <v>2</v>
      </c>
      <c r="B10" s="156"/>
      <c r="D10" s="157"/>
      <c r="E10" s="298">
        <f>SUM(E8:E9)</f>
        <v>451187</v>
      </c>
      <c r="F10" s="86"/>
      <c r="G10" s="158">
        <f>SUM(G8:G9)</f>
        <v>1</v>
      </c>
      <c r="H10" s="86"/>
      <c r="I10" s="298">
        <f>SUM(I8:I9)</f>
        <v>650741</v>
      </c>
      <c r="J10" s="86"/>
      <c r="K10" s="158">
        <f>SUM(K8:K9)</f>
        <v>1</v>
      </c>
      <c r="L10" s="211"/>
    </row>
    <row r="11" spans="1:14" ht="22.5" thickTop="1">
      <c r="F11" s="86"/>
      <c r="H11" s="86"/>
      <c r="J11" s="86"/>
    </row>
    <row r="12" spans="1:14">
      <c r="E12" s="159"/>
      <c r="F12" s="83"/>
      <c r="G12" s="83"/>
      <c r="H12" s="83"/>
      <c r="I12" s="159"/>
    </row>
    <row r="13" spans="1:14">
      <c r="E13" s="117"/>
      <c r="F13" s="83"/>
      <c r="G13" s="83"/>
      <c r="H13" s="83"/>
      <c r="I13" s="117"/>
    </row>
    <row r="14" spans="1:14">
      <c r="I14" s="17"/>
    </row>
    <row r="15" spans="1:14">
      <c r="C15" s="117"/>
      <c r="E15" s="17"/>
      <c r="I15" s="17"/>
    </row>
  </sheetData>
  <autoFilter ref="A7:L7" xr:uid="{00000000-0009-0000-0000-00000B000000}">
    <sortState xmlns:xlrd2="http://schemas.microsoft.com/office/spreadsheetml/2017/richdata2" ref="A8:L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K20"/>
  <sheetViews>
    <sheetView rightToLeft="1" view="pageBreakPreview" zoomScaleNormal="100" zoomScaleSheetLayoutView="100" workbookViewId="0">
      <selection activeCell="G11" sqref="G11"/>
    </sheetView>
  </sheetViews>
  <sheetFormatPr defaultColWidth="9.140625" defaultRowHeight="18"/>
  <cols>
    <col min="1" max="1" width="32.42578125" style="72" customWidth="1"/>
    <col min="2" max="2" width="1.42578125" style="72" customWidth="1"/>
    <col min="3" max="3" width="17.7109375" style="72" bestFit="1" customWidth="1"/>
    <col min="4" max="4" width="0.85546875" style="72" customWidth="1"/>
    <col min="5" max="5" width="18.140625" style="72" customWidth="1"/>
    <col min="6" max="6" width="9.140625" style="72"/>
    <col min="7" max="7" width="11.28515625" style="72" bestFit="1" customWidth="1"/>
    <col min="8" max="8" width="10.85546875" style="72" bestFit="1" customWidth="1"/>
    <col min="9" max="9" width="9.140625" style="72"/>
    <col min="10" max="10" width="9.85546875" style="72" bestFit="1" customWidth="1"/>
    <col min="11" max="11" width="11.28515625" style="72" bestFit="1" customWidth="1"/>
    <col min="12" max="16384" width="9.140625" style="72"/>
  </cols>
  <sheetData>
    <row r="1" spans="1:11" s="160" customFormat="1" ht="18.75">
      <c r="A1" s="247" t="s">
        <v>94</v>
      </c>
      <c r="B1" s="247"/>
      <c r="C1" s="247"/>
      <c r="D1" s="247"/>
      <c r="E1" s="247"/>
    </row>
    <row r="2" spans="1:11" s="160" customFormat="1" ht="18.75">
      <c r="A2" s="247" t="s">
        <v>57</v>
      </c>
      <c r="B2" s="247"/>
      <c r="C2" s="247"/>
      <c r="D2" s="247"/>
      <c r="E2" s="247"/>
    </row>
    <row r="3" spans="1:11" s="160" customFormat="1" ht="18.75">
      <c r="A3" s="247" t="str">
        <f>' سهام'!A3:W3</f>
        <v>برای ماه منتهی به 1402/10/30</v>
      </c>
      <c r="B3" s="247"/>
      <c r="C3" s="247"/>
      <c r="D3" s="247"/>
      <c r="E3" s="247"/>
    </row>
    <row r="4" spans="1:11" ht="18.75">
      <c r="A4" s="249" t="s">
        <v>31</v>
      </c>
      <c r="B4" s="249"/>
      <c r="C4" s="249"/>
      <c r="D4" s="249"/>
      <c r="E4" s="249"/>
    </row>
    <row r="5" spans="1:11" ht="49.5" customHeight="1" thickBot="1">
      <c r="A5" s="161"/>
      <c r="B5" s="162"/>
      <c r="C5" s="212" t="s">
        <v>141</v>
      </c>
      <c r="D5" s="211"/>
      <c r="E5" s="212" t="s">
        <v>142</v>
      </c>
    </row>
    <row r="6" spans="1:11" ht="16.5" customHeight="1">
      <c r="A6" s="290"/>
      <c r="B6" s="291"/>
      <c r="C6" s="292" t="s">
        <v>6</v>
      </c>
      <c r="D6" s="210"/>
      <c r="E6" s="292" t="s">
        <v>6</v>
      </c>
    </row>
    <row r="7" spans="1:11" ht="18.75" thickBot="1">
      <c r="A7" s="291"/>
      <c r="B7" s="291"/>
      <c r="C7" s="294"/>
      <c r="D7" s="163"/>
      <c r="E7" s="294"/>
    </row>
    <row r="8" spans="1:11">
      <c r="A8" s="211" t="s">
        <v>32</v>
      </c>
      <c r="B8" s="211"/>
      <c r="C8" s="13">
        <v>0</v>
      </c>
      <c r="D8" s="13"/>
      <c r="E8" s="13">
        <v>18434597</v>
      </c>
      <c r="F8" s="82"/>
      <c r="G8" s="111"/>
      <c r="H8" s="111"/>
      <c r="J8" s="82"/>
      <c r="K8" s="82"/>
    </row>
    <row r="9" spans="1:11">
      <c r="A9" s="211" t="s">
        <v>107</v>
      </c>
      <c r="B9" s="211"/>
      <c r="C9" s="13">
        <v>0</v>
      </c>
      <c r="D9" s="13">
        <v>27449510</v>
      </c>
      <c r="E9" s="13">
        <v>265983</v>
      </c>
      <c r="F9" s="164"/>
      <c r="G9" s="111"/>
      <c r="I9" s="82"/>
      <c r="J9" s="82"/>
    </row>
    <row r="10" spans="1:11">
      <c r="A10" s="211" t="s">
        <v>136</v>
      </c>
      <c r="B10" s="211"/>
      <c r="C10" s="13">
        <v>0</v>
      </c>
      <c r="D10" s="13"/>
      <c r="E10" s="13">
        <v>4415236</v>
      </c>
      <c r="F10" s="164"/>
      <c r="G10" s="111"/>
      <c r="I10" s="82"/>
      <c r="J10" s="82"/>
    </row>
    <row r="11" spans="1:11" ht="18.75" thickBot="1">
      <c r="A11" s="165" t="s">
        <v>2</v>
      </c>
      <c r="B11" s="211"/>
      <c r="C11" s="123">
        <f>SUM(C8:C10)</f>
        <v>0</v>
      </c>
      <c r="D11" s="13"/>
      <c r="E11" s="123">
        <f>SUM(E8:E10)</f>
        <v>23115816</v>
      </c>
    </row>
    <row r="12" spans="1:11" ht="18.75" thickTop="1">
      <c r="A12" s="211"/>
      <c r="D12" s="13"/>
    </row>
    <row r="13" spans="1:11">
      <c r="C13" s="166"/>
      <c r="E13" s="69"/>
    </row>
    <row r="14" spans="1:11">
      <c r="C14" s="82"/>
      <c r="E14" s="69"/>
    </row>
    <row r="15" spans="1:11">
      <c r="E15" s="69"/>
    </row>
    <row r="16" spans="1:11">
      <c r="C16" s="69"/>
      <c r="E16" s="166"/>
    </row>
    <row r="17" spans="3:5">
      <c r="C17" s="82"/>
      <c r="E17" s="166"/>
    </row>
    <row r="18" spans="3:5">
      <c r="C18" s="69"/>
      <c r="E18" s="82"/>
    </row>
    <row r="20" spans="3:5">
      <c r="C20" s="166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Fatemeh Bakhtiari</cp:lastModifiedBy>
  <cp:lastPrinted>2023-10-25T16:54:14Z</cp:lastPrinted>
  <dcterms:created xsi:type="dcterms:W3CDTF">2017-11-22T14:26:20Z</dcterms:created>
  <dcterms:modified xsi:type="dcterms:W3CDTF">2024-01-30T12:31:04Z</dcterms:modified>
</cp:coreProperties>
</file>