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W:\fund\8 صندوق با تضمین کیان\گزارش ماهانه\9-آذر\"/>
    </mc:Choice>
  </mc:AlternateContent>
  <xr:revisionPtr revIDLastSave="0" documentId="13_ncr:1_{3BD0D183-2AA0-4778-9FAA-7E8189A7241C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بانکی'!$A$7:$L$7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'!$A$10:$U$10</definedName>
    <definedName name="_xlnm._FilterDatabase" localSheetId="6" hidden="1">'درآمد سود سهام'!$A$7:$S$7</definedName>
    <definedName name="_xlnm._FilterDatabase" localSheetId="8" hidden="1">'درآمد ناشی از تغییر قیمت  '!$A$6:$Q$6</definedName>
    <definedName name="_xlnm._FilterDatabase" localSheetId="7" hidden="1">'درآمد ناشی ازفروش'!$A$6:$Q$6</definedName>
    <definedName name="_xlnm._FilterDatabase" localSheetId="3" hidden="1">سپرده!$A$8:$S$8</definedName>
    <definedName name="_xlnm._FilterDatabase" localSheetId="5" hidden="1">'سود اوراق بهادار و سپرده بانکی'!$A$6:$R$6</definedName>
    <definedName name="_xlnm.Print_Area" localSheetId="1">' سهام'!$A$1:$W$31</definedName>
    <definedName name="_xlnm.Print_Area" localSheetId="2">اوراق!$A$1:$AG$14</definedName>
    <definedName name="_xlnm.Print_Area" localSheetId="11">'درآمد سپرده بانکی'!$A$1:$L$11</definedName>
    <definedName name="_xlnm.Print_Area" localSheetId="10">'درآمد سرمایه گذاری در اوراق بها'!$A$1:$Q$15</definedName>
    <definedName name="_xlnm.Print_Area" localSheetId="9">'درآمد سرمایه گذاری در سهام '!$A$1:$U$32</definedName>
    <definedName name="_xlnm.Print_Area" localSheetId="6">'درآمد سود سهام'!$A$1:$S$11</definedName>
    <definedName name="_xlnm.Print_Area" localSheetId="8">'درآمد ناشی از تغییر قیمت  '!$A$1:$Q$36</definedName>
    <definedName name="_xlnm.Print_Area" localSheetId="7">'درآمد ناشی ازفروش'!$A$1:$Q$31</definedName>
    <definedName name="_xlnm.Print_Area" localSheetId="4">درآمدها!$A$1:$I$11</definedName>
    <definedName name="_xlnm.Print_Area" localSheetId="0">روکش!$A$1:$J$36</definedName>
    <definedName name="_xlnm.Print_Area" localSheetId="12">'سایر درآمدها'!$A$1:$E$12</definedName>
    <definedName name="_xlnm.Print_Area" localSheetId="3">سپرده!$A$1:$S$13</definedName>
    <definedName name="_xlnm.Print_Area" localSheetId="5">'سود اوراق بهادار و سپرده بانکی'!$A$1:$R$11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 '!$5:$6</definedName>
    <definedName name="_xlnm.Print_Titles" localSheetId="7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7" i="14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7" i="15"/>
  <c r="O31" i="14"/>
  <c r="E8" i="14"/>
  <c r="E9" i="14"/>
  <c r="E10" i="14"/>
  <c r="E7" i="14"/>
  <c r="M7" i="14"/>
  <c r="C8" i="14"/>
  <c r="C9" i="14"/>
  <c r="C10" i="14"/>
  <c r="C7" i="14"/>
  <c r="K7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11" i="14"/>
  <c r="M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11" i="14"/>
  <c r="K11" i="14"/>
  <c r="E11" i="8" l="1"/>
  <c r="C11" i="8"/>
  <c r="K14" i="6"/>
  <c r="C14" i="6"/>
  <c r="M31" i="5"/>
  <c r="C31" i="5"/>
  <c r="G31" i="14"/>
  <c r="Q26" i="15"/>
  <c r="O26" i="15"/>
  <c r="M26" i="15"/>
  <c r="K26" i="15"/>
  <c r="G26" i="15"/>
  <c r="R9" i="13"/>
  <c r="P9" i="13"/>
  <c r="N9" i="13"/>
  <c r="L9" i="13"/>
  <c r="J9" i="13"/>
  <c r="H9" i="13"/>
  <c r="I8" i="11"/>
  <c r="Q11" i="2"/>
  <c r="O11" i="2"/>
  <c r="M11" i="2"/>
  <c r="K11" i="2"/>
  <c r="AG13" i="17"/>
  <c r="AG10" i="17"/>
  <c r="AG11" i="17"/>
  <c r="AG12" i="17"/>
  <c r="AG9" i="17"/>
  <c r="AE13" i="17"/>
  <c r="AC13" i="17"/>
  <c r="Y13" i="17"/>
  <c r="W13" i="17"/>
  <c r="V13" i="17"/>
  <c r="T13" i="17"/>
  <c r="S13" i="17"/>
  <c r="Q13" i="17"/>
  <c r="O13" i="17"/>
  <c r="M13" i="17"/>
  <c r="W10" i="1"/>
  <c r="W30" i="1"/>
  <c r="U30" i="1"/>
  <c r="S30" i="1"/>
  <c r="O30" i="1"/>
  <c r="M30" i="1"/>
  <c r="L30" i="1"/>
  <c r="J30" i="1"/>
  <c r="I30" i="1"/>
  <c r="G30" i="1"/>
  <c r="E30" i="1"/>
  <c r="C30" i="1"/>
  <c r="E8" i="7" l="1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 l="1"/>
  <c r="O12" i="6"/>
  <c r="O14" i="6" s="1"/>
  <c r="K8" i="14"/>
  <c r="K9" i="14"/>
  <c r="K10" i="14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8" i="15"/>
  <c r="C7" i="15"/>
  <c r="C6" i="6" a="1"/>
  <c r="C6" i="6" s="1"/>
  <c r="K6" i="6" a="1"/>
  <c r="K6" i="6" s="1"/>
  <c r="M7" i="5" a="1"/>
  <c r="M7" i="5" s="1"/>
  <c r="C7" i="5" a="1"/>
  <c r="C7" i="5" s="1"/>
  <c r="K5" i="14" a="1"/>
  <c r="K5" i="14" s="1"/>
  <c r="C5" i="14" a="1"/>
  <c r="C5" i="14" s="1"/>
  <c r="K5" i="15" a="1"/>
  <c r="K5" i="15" s="1"/>
  <c r="C5" i="15" a="1"/>
  <c r="C5" i="15" s="1"/>
  <c r="O6" i="18"/>
  <c r="E5" i="11"/>
  <c r="Q6" i="2"/>
  <c r="K6" i="2"/>
  <c r="Y6" i="17" a="1"/>
  <c r="Y6" i="17" s="1"/>
  <c r="M6" i="17" a="1"/>
  <c r="M6" i="17" s="1"/>
  <c r="M9" i="18"/>
  <c r="A3" i="18"/>
  <c r="A3" i="13"/>
  <c r="S9" i="2"/>
  <c r="I8" i="7"/>
  <c r="E7" i="15"/>
  <c r="M8" i="14"/>
  <c r="M9" i="14"/>
  <c r="M10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E30" i="5"/>
  <c r="E26" i="5"/>
  <c r="E29" i="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Q26" i="5"/>
  <c r="Q27" i="5"/>
  <c r="Q28" i="5"/>
  <c r="Q29" i="5"/>
  <c r="Q30" i="5"/>
  <c r="S8" i="18"/>
  <c r="S10" i="2"/>
  <c r="S11" i="2" s="1"/>
  <c r="W29" i="1"/>
  <c r="W28" i="1"/>
  <c r="E27" i="5" l="1"/>
  <c r="G29" i="5"/>
  <c r="I29" i="5" s="1"/>
  <c r="K29" i="5" s="1"/>
  <c r="O30" i="5"/>
  <c r="S30" i="5" s="1"/>
  <c r="U30" i="5" s="1"/>
  <c r="G28" i="5"/>
  <c r="O29" i="5"/>
  <c r="S29" i="5" s="1"/>
  <c r="U29" i="5" s="1"/>
  <c r="M31" i="14"/>
  <c r="G27" i="5"/>
  <c r="O28" i="5"/>
  <c r="C31" i="14"/>
  <c r="G26" i="5"/>
  <c r="E28" i="5"/>
  <c r="O27" i="5"/>
  <c r="C26" i="15"/>
  <c r="E31" i="14"/>
  <c r="E26" i="15"/>
  <c r="O26" i="5"/>
  <c r="S26" i="5" s="1"/>
  <c r="U26" i="5" s="1"/>
  <c r="G30" i="5"/>
  <c r="I30" i="5" s="1"/>
  <c r="K30" i="5" s="1"/>
  <c r="G12" i="6"/>
  <c r="G14" i="6" s="1"/>
  <c r="G17" i="5"/>
  <c r="I28" i="5" l="1"/>
  <c r="E10" i="11"/>
  <c r="I10" i="11" s="1"/>
  <c r="E10" i="6"/>
  <c r="E13" i="6"/>
  <c r="I13" i="6" s="1"/>
  <c r="E11" i="6"/>
  <c r="I11" i="6" s="1"/>
  <c r="E12" i="5"/>
  <c r="E13" i="5"/>
  <c r="E14" i="5"/>
  <c r="E15" i="5"/>
  <c r="E16" i="5"/>
  <c r="I16" i="5" s="1"/>
  <c r="E17" i="5"/>
  <c r="E18" i="5"/>
  <c r="E20" i="5"/>
  <c r="E21" i="5"/>
  <c r="E22" i="5"/>
  <c r="E23" i="5"/>
  <c r="E24" i="5"/>
  <c r="E25" i="5"/>
  <c r="Q12" i="5"/>
  <c r="Q13" i="5"/>
  <c r="Q14" i="5"/>
  <c r="Q15" i="5"/>
  <c r="Q17" i="5"/>
  <c r="Q18" i="5"/>
  <c r="Q19" i="5"/>
  <c r="Q20" i="5"/>
  <c r="Q21" i="5"/>
  <c r="Q22" i="5"/>
  <c r="Q23" i="5"/>
  <c r="Q24" i="5"/>
  <c r="Q25" i="5"/>
  <c r="G13" i="5"/>
  <c r="G14" i="5"/>
  <c r="G15" i="5"/>
  <c r="G18" i="5"/>
  <c r="G19" i="5"/>
  <c r="G20" i="5"/>
  <c r="G21" i="5"/>
  <c r="G22" i="5"/>
  <c r="G23" i="5"/>
  <c r="G24" i="5"/>
  <c r="G25" i="5"/>
  <c r="R8" i="13"/>
  <c r="R7" i="13"/>
  <c r="L8" i="13"/>
  <c r="L7" i="13"/>
  <c r="E11" i="5" l="1"/>
  <c r="I11" i="5" s="1"/>
  <c r="I31" i="14"/>
  <c r="Q31" i="5"/>
  <c r="G12" i="5"/>
  <c r="G31" i="5" s="1"/>
  <c r="I26" i="15"/>
  <c r="I10" i="6"/>
  <c r="E12" i="6"/>
  <c r="E14" i="6" s="1"/>
  <c r="I9" i="7"/>
  <c r="E9" i="7"/>
  <c r="E10" i="7" l="1"/>
  <c r="G9" i="7"/>
  <c r="K9" i="7"/>
  <c r="I10" i="7"/>
  <c r="E31" i="5"/>
  <c r="I12" i="6"/>
  <c r="I14" i="6" s="1"/>
  <c r="I21" i="5"/>
  <c r="K21" i="5" s="1"/>
  <c r="I26" i="5"/>
  <c r="K26" i="5" s="1"/>
  <c r="I22" i="5"/>
  <c r="K22" i="5" s="1"/>
  <c r="O25" i="5"/>
  <c r="I23" i="5"/>
  <c r="K23" i="5" s="1"/>
  <c r="I19" i="5"/>
  <c r="K19" i="5" s="1"/>
  <c r="I27" i="5"/>
  <c r="K27" i="5" s="1"/>
  <c r="I24" i="5"/>
  <c r="K24" i="5" s="1"/>
  <c r="I14" i="5"/>
  <c r="K14" i="5" s="1"/>
  <c r="K16" i="5"/>
  <c r="I18" i="5"/>
  <c r="K18" i="5" s="1"/>
  <c r="I25" i="5"/>
  <c r="K25" i="5" s="1"/>
  <c r="I17" i="5"/>
  <c r="K17" i="5" s="1"/>
  <c r="I15" i="5"/>
  <c r="K15" i="5" s="1"/>
  <c r="I13" i="5"/>
  <c r="K13" i="5" s="1"/>
  <c r="W27" i="1"/>
  <c r="G8" i="7" l="1"/>
  <c r="G10" i="7" s="1"/>
  <c r="K8" i="7"/>
  <c r="K10" i="7" s="1"/>
  <c r="K11" i="5"/>
  <c r="E9" i="11"/>
  <c r="I9" i="11" s="1"/>
  <c r="O23" i="5"/>
  <c r="O19" i="5"/>
  <c r="O22" i="5"/>
  <c r="O18" i="5"/>
  <c r="O14" i="5"/>
  <c r="M11" i="6"/>
  <c r="Q11" i="6" s="1"/>
  <c r="M12" i="6"/>
  <c r="Q12" i="6" s="1"/>
  <c r="O21" i="5"/>
  <c r="O17" i="5"/>
  <c r="O13" i="5"/>
  <c r="M10" i="6"/>
  <c r="O24" i="5"/>
  <c r="O20" i="5"/>
  <c r="O12" i="5"/>
  <c r="M13" i="6"/>
  <c r="Q13" i="6" s="1"/>
  <c r="I12" i="5"/>
  <c r="K28" i="5"/>
  <c r="Q31" i="14" l="1"/>
  <c r="M14" i="6"/>
  <c r="O11" i="5"/>
  <c r="S19" i="5"/>
  <c r="U19" i="5" s="1"/>
  <c r="O15" i="5"/>
  <c r="S15" i="5" s="1"/>
  <c r="U15" i="5" s="1"/>
  <c r="S20" i="5"/>
  <c r="U20" i="5" s="1"/>
  <c r="O16" i="5"/>
  <c r="S16" i="5" s="1"/>
  <c r="U16" i="5" s="1"/>
  <c r="Q10" i="6"/>
  <c r="Q14" i="6" s="1"/>
  <c r="S17" i="5"/>
  <c r="U17" i="5" s="1"/>
  <c r="S27" i="5"/>
  <c r="U27" i="5" s="1"/>
  <c r="S13" i="5"/>
  <c r="U13" i="5" s="1"/>
  <c r="S22" i="5"/>
  <c r="U22" i="5" s="1"/>
  <c r="S23" i="5"/>
  <c r="U23" i="5" s="1"/>
  <c r="S25" i="5"/>
  <c r="U25" i="5" s="1"/>
  <c r="S24" i="5"/>
  <c r="U24" i="5" s="1"/>
  <c r="S18" i="5"/>
  <c r="U18" i="5" s="1"/>
  <c r="S21" i="5"/>
  <c r="U21" i="5" s="1"/>
  <c r="S14" i="5"/>
  <c r="U14" i="5" s="1"/>
  <c r="S12" i="5"/>
  <c r="U12" i="5" s="1"/>
  <c r="S28" i="5"/>
  <c r="U28" i="5" s="1"/>
  <c r="K12" i="5"/>
  <c r="S9" i="18"/>
  <c r="Q9" i="18"/>
  <c r="O9" i="18"/>
  <c r="K9" i="18"/>
  <c r="I9" i="18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A3" i="17"/>
  <c r="O31" i="5" l="1"/>
  <c r="S11" i="5"/>
  <c r="I20" i="5"/>
  <c r="I31" i="5" s="1"/>
  <c r="S31" i="5" l="1"/>
  <c r="E7" i="11" s="1"/>
  <c r="U11" i="5"/>
  <c r="U31" i="5" s="1"/>
  <c r="K20" i="5"/>
  <c r="K31" i="5" s="1"/>
  <c r="I7" i="11" l="1"/>
  <c r="I11" i="11" s="1"/>
  <c r="E11" i="11"/>
  <c r="G7" i="11" s="1"/>
  <c r="G8" i="11" l="1"/>
  <c r="G9" i="11"/>
  <c r="G10" i="11"/>
  <c r="Q9" i="13"/>
  <c r="J9" i="18"/>
  <c r="L9" i="18"/>
  <c r="N9" i="18"/>
  <c r="R9" i="18"/>
  <c r="G11" i="11" l="1"/>
  <c r="D14" i="6"/>
  <c r="F14" i="6"/>
  <c r="H14" i="6"/>
  <c r="J14" i="6"/>
  <c r="L14" i="6"/>
  <c r="N14" i="6"/>
  <c r="P14" i="6"/>
  <c r="A3" i="14" l="1"/>
  <c r="A3" i="8" l="1"/>
  <c r="A3" i="7"/>
  <c r="A3" i="6"/>
  <c r="A3" i="5"/>
  <c r="A3" i="15"/>
  <c r="A3" i="2" l="1"/>
  <c r="A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3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<sst xmlns="http://schemas.openxmlformats.org/spreadsheetml/2006/main" count="341" uniqueCount="144">
  <si>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</si>
  <si>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</si>
  <si>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</si>
  <si>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</si>
  <si>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</si>
  <si>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</si>
  <si>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</si>
  <si>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</si>
  <si>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</si>
  <si>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</si>
  <si>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</si>
  <si>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</si>
  <si>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</si>
  <si>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</si>
  <si>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</si>
  <si>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</si>
  <si>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</si>
  <si>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</si>
  <si>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</si>
  <si>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</si>
  <si>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</si>
  <si>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</si>
  <si>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</si>
  <si>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</si>
  <si>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</si>
  <si>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</si>
  <si>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</si>
  <si>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</si>
  <si>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</si>
  <si>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</si>
  <si>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</si>
  <si>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</si>
  <si>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</si>
  <si>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</si>
  <si>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</si>
  <si>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</si>
  <si>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</si>
  <si>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</si>
  <si>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</si>
  <si>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</si>
  <si>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</si>
  <si>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</si>
  <si>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</si>
  <si>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</si>
  <si>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</si>
  <si>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</si>
  <si>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</si>
  <si>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</si>
  <si>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</si>
  <si>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</si>
  <si>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</si>
  <si>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</si>
  <si>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</si>
  <si>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</si>
  <si>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</si>
  <si>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</si>
  <si>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</si>
  <si>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</si>
  <si>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</si>
  <si>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</si>
  <si>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</si>
  <si>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</si>
  <si>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</si>
  <si>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</si>
  <si>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</si>
  <si>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</si>
  <si>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</si>
  <si>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</si>
  <si>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</si>
  <si>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</si>
  <si>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</si>
  <si>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</si>
  <si>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</si>
  <si>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</si>
  <si>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</si>
  <si>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</si>
  <si>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</si>
  <si>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</si>
  <si>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</si>
  <si>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</si>
  <si>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</si>
  <si>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</si>
  <si>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</si>
  <si>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</si>
  <si>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</si>
  <si>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</si>
  <si>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</si>
  <si>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</si>
  <si>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</si>
  <si>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</si>
  <si>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</si>
  <si>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</si>
  <si>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کوتاه مدت</t>
  </si>
  <si>
    <t>-</t>
  </si>
  <si>
    <t>صندوق سرمایه گذاری با تضمین اصل سرمایه کیان</t>
  </si>
  <si>
    <t>فولاد کاوه جنوب کیش (کاوه)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</si>
  <si>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</si>
  <si>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</si>
  <si>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</si>
  <si>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</si>
  <si>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</si>
  <si>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</si>
  <si>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</si>
  <si>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کوتاه مدت خاورمیانه</t>
  </si>
  <si>
    <t>پاسارگاد209.8100.15644767.1 -کوتاه مدت</t>
  </si>
  <si>
    <t>209.8100.15644767.1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</si>
  <si>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</si>
  <si>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</si>
  <si>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سیمان صوفیان (سصوفی)</t>
  </si>
  <si>
    <t>صبا فولاد خلیج فارس (فصبا)</t>
  </si>
  <si>
    <t>بین المللی توسعه صنایع و معادن غدیر (وکغدیر)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</si>
  <si>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</si>
  <si>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</si>
  <si>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</si>
  <si>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</si>
  <si>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</si>
  <si>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مولد نیروگاهی تجارت فارس (بمولد)</t>
  </si>
  <si>
    <t>1005/10/810/707074934</t>
  </si>
  <si>
    <t>اسناد خزانه-م1بودجه01-040326 (اخزا101)</t>
  </si>
  <si>
    <t>بلی</t>
  </si>
  <si>
    <t>1401/02/26</t>
  </si>
  <si>
    <t>1404/03/26</t>
  </si>
  <si>
    <t>1000000.0000</t>
  </si>
  <si>
    <t>1402/08/30</t>
  </si>
  <si>
    <t>منتهی به 1402/09/30</t>
  </si>
  <si>
    <t>برای ماه منتهی به 1402/09/30</t>
  </si>
  <si>
    <t>1402/09/30</t>
  </si>
  <si>
    <t>آهن و فولاد غدیر ایرانیان (فغدیر)</t>
  </si>
  <si>
    <t>پتروشیمی مبین (حق تقدم) (مبینح)</t>
  </si>
  <si>
    <t>گروه مالی صبا تامین (صبا)</t>
  </si>
  <si>
    <t>اسناد خزانه-م3بودجه01-040520 (اخزا103)</t>
  </si>
  <si>
    <t>اسنادخزانه-م7بودجه01-040714 (اخزا107)</t>
  </si>
  <si>
    <t>اسنادخزانه-م1بودجه02-050325 (اخزا201)</t>
  </si>
  <si>
    <t>1401/05/18</t>
  </si>
  <si>
    <t>1401/12/10</t>
  </si>
  <si>
    <t>1402/06/19</t>
  </si>
  <si>
    <t>1404/05/20</t>
  </si>
  <si>
    <t>1404/07/14</t>
  </si>
  <si>
    <t>1405/03/25</t>
  </si>
  <si>
    <t>1402/09/24</t>
  </si>
  <si>
    <t>تعدیل کارمزد کارگزاری</t>
  </si>
  <si>
    <t>طی آذر ماه</t>
  </si>
  <si>
    <t>از ابتدای سال مالی تا پایان آذر ماه</t>
  </si>
  <si>
    <t>A7,اوراق!$A$9:$W$12,22,0)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</si>
</sst>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00_);_(* \(#,##0.000\);_(* &quot;-&quot;??_);_(@_)"/>
    <numFmt numFmtId="167" formatCode="_(* #,##0.000000_);_(* \(#,##0.000000\);_(* &quot;-&quot;??_);_(@_)"/>
  </numFmts>
  <fonts count="5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sz val="11"/>
      <color theme="1"/>
      <name val="Tahoma"/>
      <family val="2"/>
    </font>
    <font>
      <b/>
      <sz val="11"/>
      <color rgb="FF2E2E2E"/>
      <name val="IranSansFaNum"/>
    </font>
    <font>
      <sz val="18"/>
      <color theme="1"/>
      <name val="B Mitra"/>
      <charset val="178"/>
    </font>
    <font>
      <sz val="10"/>
      <color rgb="FF3C464A"/>
      <name val="Tahoma"/>
      <family val="2"/>
    </font>
    <font>
      <b/>
      <sz val="9"/>
      <color rgb="FF00A651"/>
      <name val="IranSansFaNum"/>
    </font>
    <font>
      <b/>
      <sz val="13"/>
      <color theme="1"/>
      <name val="B Mitra"/>
      <charset val="178"/>
    </font>
    <font>
      <sz val="16"/>
      <name val="B Mitra"/>
      <charset val="17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D5D5D5"/>
      </left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</cellStyleXfs>
  <cellXfs count="307">
    <xf numFmtId="0" fontId="0" fillId="0" borderId="0" xfId="0"/>
    <xf numFmtId="0" fontId="14" fillId="0" borderId="0" xfId="0" applyFont="1"/>
    <xf numFmtId="165" fontId="10" fillId="0" borderId="0" xfId="1" applyNumberFormat="1" applyFont="1" applyFill="1"/>
    <xf numFmtId="0" fontId="32" fillId="0" borderId="0" xfId="0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4" fontId="5" fillId="0" borderId="0" xfId="1" applyNumberFormat="1" applyFont="1" applyFill="1" applyBorder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 wrapText="1"/>
    </xf>
    <xf numFmtId="164" fontId="20" fillId="0" borderId="1" xfId="1" applyNumberFormat="1" applyFont="1" applyFill="1" applyBorder="1"/>
    <xf numFmtId="164" fontId="18" fillId="0" borderId="1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14" fillId="0" borderId="0" xfId="1" applyNumberFormat="1" applyFont="1" applyFill="1"/>
    <xf numFmtId="164" fontId="14" fillId="0" borderId="0" xfId="1" applyNumberFormat="1" applyFont="1" applyFill="1" applyAlignment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15" fillId="0" borderId="4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/>
    <xf numFmtId="164" fontId="20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164" fontId="41" fillId="0" borderId="0" xfId="1" applyNumberFormat="1" applyFont="1" applyFill="1" applyBorder="1" applyAlignment="1">
      <alignment vertical="center"/>
    </xf>
    <xf numFmtId="164" fontId="41" fillId="0" borderId="0" xfId="1" applyNumberFormat="1" applyFont="1" applyFill="1" applyAlignment="1">
      <alignment vertical="center"/>
    </xf>
    <xf numFmtId="43" fontId="20" fillId="0" borderId="0" xfId="1" applyFont="1" applyFill="1" applyAlignment="1">
      <alignment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165" fontId="14" fillId="0" borderId="0" xfId="1" applyNumberFormat="1" applyFont="1" applyFill="1"/>
    <xf numFmtId="165" fontId="15" fillId="0" borderId="0" xfId="1" applyNumberFormat="1" applyFont="1" applyFill="1"/>
    <xf numFmtId="165" fontId="15" fillId="0" borderId="0" xfId="1" applyNumberFormat="1" applyFont="1" applyFill="1" applyAlignment="1">
      <alignment vertic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165" fontId="23" fillId="0" borderId="4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4" fontId="40" fillId="0" borderId="0" xfId="1" applyNumberFormat="1" applyFont="1" applyFill="1" applyAlignment="1">
      <alignment vertical="center"/>
    </xf>
    <xf numFmtId="165" fontId="40" fillId="0" borderId="0" xfId="1" applyNumberFormat="1" applyFont="1" applyFill="1" applyAlignment="1">
      <alignment vertical="center"/>
    </xf>
    <xf numFmtId="164" fontId="28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64" fontId="10" fillId="0" borderId="0" xfId="1" applyNumberFormat="1" applyFont="1" applyFill="1"/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22" fillId="0" borderId="9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Alignment="1">
      <alignment vertical="center"/>
    </xf>
    <xf numFmtId="9" fontId="6" fillId="0" borderId="0" xfId="1" applyNumberFormat="1" applyFont="1" applyFill="1" applyAlignment="1">
      <alignment vertical="center"/>
    </xf>
    <xf numFmtId="10" fontId="8" fillId="0" borderId="8" xfId="2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Alignment="1">
      <alignment vertical="center" wrapText="1" readingOrder="2"/>
    </xf>
    <xf numFmtId="0" fontId="6" fillId="0" borderId="0" xfId="0" applyFont="1" applyFill="1" applyAlignment="1">
      <alignment vertical="center" wrapText="1" readingOrder="2"/>
    </xf>
    <xf numFmtId="0" fontId="6" fillId="0" borderId="0" xfId="0" applyFont="1" applyFill="1" applyAlignment="1">
      <alignment horizontal="center" vertical="center" readingOrder="2"/>
    </xf>
    <xf numFmtId="37" fontId="8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3" fontId="43" fillId="0" borderId="0" xfId="0" applyNumberFormat="1" applyFont="1" applyFill="1"/>
    <xf numFmtId="166" fontId="6" fillId="0" borderId="0" xfId="0" applyNumberFormat="1" applyFont="1" applyFill="1" applyAlignment="1">
      <alignment vertical="center"/>
    </xf>
    <xf numFmtId="0" fontId="16" fillId="0" borderId="0" xfId="0" applyFont="1" applyFill="1"/>
    <xf numFmtId="0" fontId="20" fillId="0" borderId="0" xfId="0" applyFont="1" applyFill="1"/>
    <xf numFmtId="0" fontId="20" fillId="0" borderId="1" xfId="0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Fill="1"/>
    <xf numFmtId="0" fontId="10" fillId="0" borderId="0" xfId="0" applyFont="1" applyFill="1"/>
    <xf numFmtId="164" fontId="16" fillId="0" borderId="0" xfId="0" applyNumberFormat="1" applyFont="1" applyFill="1"/>
    <xf numFmtId="0" fontId="34" fillId="0" borderId="0" xfId="0" applyFont="1" applyFill="1" applyAlignment="1">
      <alignment horizontal="center"/>
    </xf>
    <xf numFmtId="0" fontId="14" fillId="0" borderId="0" xfId="0" applyFont="1" applyFill="1"/>
    <xf numFmtId="3" fontId="34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vertical="center" readingOrder="2"/>
    </xf>
    <xf numFmtId="0" fontId="36" fillId="0" borderId="0" xfId="0" applyFont="1" applyFill="1" applyAlignment="1">
      <alignment horizontal="right" vertical="center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164" fontId="34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right" vertical="center" readingOrder="2"/>
    </xf>
    <xf numFmtId="49" fontId="20" fillId="0" borderId="0" xfId="0" applyNumberFormat="1" applyFont="1" applyFill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2" fontId="18" fillId="0" borderId="0" xfId="0" applyNumberFormat="1" applyFont="1" applyFill="1" applyAlignment="1">
      <alignment horizontal="center" vertical="center" readingOrder="2"/>
    </xf>
    <xf numFmtId="0" fontId="18" fillId="0" borderId="0" xfId="0" applyFont="1" applyFill="1" applyAlignment="1">
      <alignment horizontal="center"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164" fontId="14" fillId="0" borderId="0" xfId="0" applyNumberFormat="1" applyFont="1" applyFill="1"/>
    <xf numFmtId="164" fontId="42" fillId="0" borderId="0" xfId="0" applyNumberFormat="1" applyFont="1" applyFill="1"/>
    <xf numFmtId="164" fontId="18" fillId="0" borderId="16" xfId="1" applyNumberFormat="1" applyFont="1" applyFill="1" applyBorder="1" applyAlignment="1">
      <alignment horizontal="right" vertical="center" readingOrder="2"/>
    </xf>
    <xf numFmtId="0" fontId="20" fillId="0" borderId="0" xfId="0" applyFont="1" applyFill="1" applyAlignment="1">
      <alignment horizontal="right" vertical="center"/>
    </xf>
    <xf numFmtId="38" fontId="18" fillId="0" borderId="10" xfId="0" applyNumberFormat="1" applyFont="1" applyFill="1" applyBorder="1" applyAlignment="1">
      <alignment horizontal="right" vertical="center" readingOrder="2"/>
    </xf>
    <xf numFmtId="2" fontId="18" fillId="0" borderId="2" xfId="0" applyNumberFormat="1" applyFont="1" applyFill="1" applyBorder="1" applyAlignment="1">
      <alignment horizontal="center" vertical="center" readingOrder="2"/>
    </xf>
    <xf numFmtId="40" fontId="18" fillId="0" borderId="3" xfId="0" applyNumberFormat="1" applyFont="1" applyFill="1" applyBorder="1" applyAlignment="1">
      <alignment horizontal="center" vertical="center" readingOrder="2"/>
    </xf>
    <xf numFmtId="0" fontId="14" fillId="0" borderId="0" xfId="0" applyFont="1" applyFill="1" applyAlignment="1">
      <alignment horizontal="right" vertical="center"/>
    </xf>
    <xf numFmtId="0" fontId="35" fillId="0" borderId="0" xfId="0" applyFont="1" applyFill="1"/>
    <xf numFmtId="3" fontId="43" fillId="0" borderId="0" xfId="0" applyNumberFormat="1" applyFont="1" applyFill="1" applyAlignment="1">
      <alignment vertical="center"/>
    </xf>
    <xf numFmtId="3" fontId="43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64" fontId="10" fillId="0" borderId="0" xfId="0" applyNumberFormat="1" applyFont="1" applyFill="1"/>
    <xf numFmtId="37" fontId="27" fillId="0" borderId="11" xfId="0" applyNumberFormat="1" applyFont="1" applyFill="1" applyBorder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3" fontId="14" fillId="0" borderId="0" xfId="0" applyNumberFormat="1" applyFont="1" applyFill="1"/>
    <xf numFmtId="37" fontId="13" fillId="0" borderId="9" xfId="0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vertical="center"/>
    </xf>
    <xf numFmtId="164" fontId="13" fillId="0" borderId="9" xfId="0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vertical="center"/>
    </xf>
    <xf numFmtId="37" fontId="13" fillId="0" borderId="1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Alignment="1">
      <alignment vertical="center"/>
    </xf>
    <xf numFmtId="3" fontId="14" fillId="0" borderId="0" xfId="0" applyNumberFormat="1" applyFont="1" applyFill="1"/>
    <xf numFmtId="37" fontId="13" fillId="0" borderId="0" xfId="0" quotePrefix="1" applyNumberFormat="1" applyFont="1" applyFill="1" applyAlignment="1">
      <alignment horizontal="right" vertical="center" wrapText="1"/>
    </xf>
    <xf numFmtId="3" fontId="44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23" fillId="0" borderId="0" xfId="0" applyFont="1" applyFill="1" applyAlignment="1">
      <alignment vertical="center" wrapText="1" readingOrder="2"/>
    </xf>
    <xf numFmtId="165" fontId="23" fillId="0" borderId="4" xfId="0" applyNumberFormat="1" applyFont="1" applyFill="1" applyBorder="1" applyAlignment="1">
      <alignment horizontal="center" vertical="center" wrapText="1" readingOrder="2"/>
    </xf>
    <xf numFmtId="0" fontId="23" fillId="0" borderId="4" xfId="0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64" fontId="9" fillId="0" borderId="8" xfId="1" applyNumberFormat="1" applyFont="1" applyFill="1" applyBorder="1" applyAlignment="1">
      <alignment vertical="center"/>
    </xf>
    <xf numFmtId="164" fontId="9" fillId="0" borderId="0" xfId="1" applyNumberFormat="1" applyFont="1" applyFill="1" applyAlignment="1">
      <alignment vertical="center"/>
    </xf>
    <xf numFmtId="37" fontId="37" fillId="0" borderId="0" xfId="0" applyNumberFormat="1" applyFont="1" applyFill="1" applyAlignment="1">
      <alignment horizontal="center" vertical="center"/>
    </xf>
    <xf numFmtId="10" fontId="23" fillId="0" borderId="8" xfId="2" applyNumberFormat="1" applyFont="1" applyFill="1" applyBorder="1" applyAlignment="1">
      <alignment horizontal="center" vertical="center" wrapText="1" readingOrder="2"/>
    </xf>
    <xf numFmtId="165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40" fillId="0" borderId="0" xfId="0" applyFont="1" applyFill="1" applyAlignment="1">
      <alignment vertical="center"/>
    </xf>
    <xf numFmtId="165" fontId="40" fillId="0" borderId="0" xfId="0" applyNumberFormat="1" applyFont="1" applyFill="1" applyAlignment="1">
      <alignment vertical="center"/>
    </xf>
    <xf numFmtId="0" fontId="28" fillId="0" borderId="15" xfId="0" applyFont="1" applyFill="1" applyBorder="1" applyAlignment="1">
      <alignment horizontal="center" vertical="center" wrapText="1" readingOrder="2"/>
    </xf>
    <xf numFmtId="37" fontId="31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 readingOrder="2"/>
    </xf>
    <xf numFmtId="10" fontId="38" fillId="0" borderId="2" xfId="2" applyNumberFormat="1" applyFont="1" applyFill="1" applyBorder="1" applyAlignment="1">
      <alignment horizontal="center" vertical="center" wrapText="1" readingOrder="2"/>
    </xf>
    <xf numFmtId="3" fontId="10" fillId="0" borderId="0" xfId="0" applyNumberFormat="1" applyFont="1" applyFill="1"/>
    <xf numFmtId="0" fontId="18" fillId="0" borderId="0" xfId="0" applyFont="1" applyFill="1"/>
    <xf numFmtId="0" fontId="28" fillId="0" borderId="1" xfId="0" applyFont="1" applyFill="1" applyBorder="1" applyAlignment="1">
      <alignment horizontal="right" vertical="center" wrapText="1" readingOrder="2"/>
    </xf>
    <xf numFmtId="0" fontId="28" fillId="0" borderId="0" xfId="0" applyFont="1" applyFill="1" applyAlignment="1">
      <alignment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3" fontId="45" fillId="0" borderId="0" xfId="0" applyNumberFormat="1" applyFont="1" applyFill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3" fontId="20" fillId="0" borderId="0" xfId="0" applyNumberFormat="1" applyFont="1" applyFill="1"/>
    <xf numFmtId="0" fontId="46" fillId="0" borderId="0" xfId="0" applyFont="1" applyFill="1"/>
    <xf numFmtId="164" fontId="18" fillId="0" borderId="0" xfId="1" applyNumberFormat="1" applyFont="1" applyAlignment="1">
      <alignment vertical="center"/>
    </xf>
    <xf numFmtId="37" fontId="27" fillId="0" borderId="1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3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43" fillId="0" borderId="17" xfId="0" applyNumberFormat="1" applyFont="1" applyFill="1" applyBorder="1" applyAlignment="1">
      <alignment vertical="center" wrapText="1"/>
    </xf>
    <xf numFmtId="3" fontId="47" fillId="0" borderId="0" xfId="0" applyNumberFormat="1" applyFont="1" applyFill="1"/>
    <xf numFmtId="165" fontId="10" fillId="0" borderId="0" xfId="1" applyNumberFormat="1" applyFont="1" applyFill="1" applyAlignment="1"/>
    <xf numFmtId="0" fontId="28" fillId="0" borderId="1" xfId="0" applyFont="1" applyFill="1" applyBorder="1" applyAlignment="1">
      <alignment vertical="center" wrapText="1" readingOrder="2"/>
    </xf>
    <xf numFmtId="164" fontId="18" fillId="0" borderId="8" xfId="1" applyNumberFormat="1" applyFont="1" applyFill="1" applyBorder="1" applyAlignment="1">
      <alignment vertical="center"/>
    </xf>
    <xf numFmtId="164" fontId="30" fillId="0" borderId="0" xfId="1" applyNumberFormat="1" applyFont="1" applyFill="1" applyBorder="1" applyAlignment="1">
      <alignment vertical="center" wrapText="1" readingOrder="2"/>
    </xf>
    <xf numFmtId="37" fontId="50" fillId="0" borderId="0" xfId="0" applyNumberFormat="1" applyFont="1" applyFill="1" applyAlignment="1">
      <alignment horizontal="center" vertical="center" wrapText="1"/>
    </xf>
    <xf numFmtId="37" fontId="50" fillId="0" borderId="0" xfId="0" applyNumberFormat="1" applyFont="1" applyFill="1" applyAlignment="1">
      <alignment horizontal="center" vertical="center"/>
    </xf>
    <xf numFmtId="164" fontId="46" fillId="0" borderId="0" xfId="0" applyNumberFormat="1" applyFont="1" applyFill="1"/>
    <xf numFmtId="0" fontId="6" fillId="0" borderId="0" xfId="0" applyFont="1" applyFill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 readingOrder="2"/>
    </xf>
    <xf numFmtId="16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vertical="center"/>
    </xf>
    <xf numFmtId="164" fontId="6" fillId="0" borderId="8" xfId="1" applyNumberFormat="1" applyFont="1" applyFill="1" applyBorder="1" applyAlignment="1">
      <alignment vertical="center"/>
    </xf>
    <xf numFmtId="164" fontId="6" fillId="0" borderId="8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Alignment="1">
      <alignment horizontal="right" vertical="center"/>
    </xf>
    <xf numFmtId="164" fontId="12" fillId="0" borderId="0" xfId="0" applyNumberFormat="1" applyFont="1" applyFill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 readingOrder="2"/>
    </xf>
    <xf numFmtId="164" fontId="20" fillId="0" borderId="0" xfId="1" applyNumberFormat="1" applyFont="1" applyFill="1" applyAlignment="1">
      <alignment horizontal="center" vertical="center"/>
    </xf>
    <xf numFmtId="164" fontId="20" fillId="0" borderId="2" xfId="1" applyNumberFormat="1" applyFont="1" applyFill="1" applyBorder="1" applyAlignment="1">
      <alignment vertical="center" readingOrder="2"/>
    </xf>
    <xf numFmtId="164" fontId="20" fillId="0" borderId="2" xfId="1" applyNumberFormat="1" applyFont="1" applyFill="1" applyBorder="1" applyAlignment="1">
      <alignment horizontal="center" vertical="center" readingOrder="2"/>
    </xf>
    <xf numFmtId="164" fontId="15" fillId="0" borderId="8" xfId="1" applyNumberFormat="1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horizontal="right" vertical="center" wrapText="1" readingOrder="2"/>
    </xf>
    <xf numFmtId="3" fontId="48" fillId="0" borderId="0" xfId="0" applyNumberFormat="1" applyFont="1" applyFill="1"/>
    <xf numFmtId="164" fontId="10" fillId="0" borderId="8" xfId="1" applyNumberFormat="1" applyFont="1" applyFill="1" applyBorder="1" applyAlignment="1">
      <alignment vertical="center" wrapText="1"/>
    </xf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22" fillId="0" borderId="8" xfId="1" applyNumberFormat="1" applyFont="1" applyFill="1" applyBorder="1" applyAlignment="1">
      <alignment vertical="center"/>
    </xf>
    <xf numFmtId="164" fontId="12" fillId="0" borderId="8" xfId="1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 vertical="center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164" fontId="23" fillId="0" borderId="1" xfId="1" applyNumberFormat="1" applyFont="1" applyFill="1" applyBorder="1" applyAlignment="1">
      <alignment horizontal="center" vertical="center" wrapText="1" readingOrder="2"/>
    </xf>
    <xf numFmtId="37" fontId="27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/>
    <xf numFmtId="0" fontId="22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 vertical="center" readingOrder="2"/>
    </xf>
    <xf numFmtId="165" fontId="25" fillId="0" borderId="0" xfId="1" applyNumberFormat="1" applyFont="1" applyFill="1" applyAlignment="1">
      <alignment horizontal="right" vertical="center" readingOrder="2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49" fillId="0" borderId="0" xfId="0" applyFont="1" applyFill="1" applyAlignment="1">
      <alignment horizontal="center" vertic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3" fillId="0" borderId="3" xfId="1" applyNumberFormat="1" applyFont="1" applyFill="1" applyBorder="1" applyAlignment="1">
      <alignment horizontal="center" vertical="center" wrapText="1" readingOrder="2"/>
    </xf>
    <xf numFmtId="164" fontId="23" fillId="0" borderId="0" xfId="1" applyNumberFormat="1" applyFont="1" applyFill="1" applyBorder="1" applyAlignment="1">
      <alignment horizontal="center" vertical="center" wrapText="1" readingOrder="2"/>
    </xf>
    <xf numFmtId="165" fontId="23" fillId="0" borderId="3" xfId="1" applyNumberFormat="1" applyFont="1" applyFill="1" applyBorder="1" applyAlignment="1">
      <alignment horizontal="center" vertical="center" wrapText="1" readingOrder="2"/>
    </xf>
    <xf numFmtId="165" fontId="23" fillId="0" borderId="0" xfId="1" applyNumberFormat="1" applyFont="1" applyFill="1" applyBorder="1" applyAlignment="1">
      <alignment horizontal="center" vertical="center" wrapText="1" readingOrder="2"/>
    </xf>
    <xf numFmtId="0" fontId="23" fillId="0" borderId="3" xfId="0" applyFont="1" applyFill="1" applyBorder="1" applyAlignment="1">
      <alignment horizontal="center" vertical="center" wrapText="1" readingOrder="2"/>
    </xf>
    <xf numFmtId="0" fontId="23" fillId="0" borderId="1" xfId="0" applyFont="1" applyFill="1" applyBorder="1" applyAlignment="1">
      <alignment horizontal="center" vertical="center" wrapText="1" readingOrder="2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 readingOrder="2"/>
    </xf>
    <xf numFmtId="0" fontId="28" fillId="0" borderId="0" xfId="0" applyFont="1" applyFill="1" applyAlignment="1">
      <alignment horizontal="center" vertical="center" wrapText="1" readingOrder="2"/>
    </xf>
    <xf numFmtId="0" fontId="22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 readingOrder="2"/>
    </xf>
    <xf numFmtId="0" fontId="28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10</xdr:col>
      <xdr:colOff>0</xdr:colOff>
      <xdr:row>37</xdr:row>
      <xdr:rowOff>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8F2A80-DF21-4AAD-BAC5-88419513D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590400" y="19050"/>
          <a:ext cx="6096000" cy="7888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K28" sqref="K28:L30"/>
    </sheetView>
  </sheetViews>
  <sheetFormatPr defaultColWidth="9.140625" defaultRowHeight="17.25"/>
  <cols>
    <col min="1" max="16384" width="9.140625" style="1"/>
  </cols>
  <sheetData>
    <row r="18" spans="1:13">
      <c r="M18" s="1" t="s">
        <v>59</v>
      </c>
    </row>
    <row r="24" spans="1:13" ht="15" customHeight="1">
      <c r="A24" s="223" t="s">
        <v>75</v>
      </c>
      <c r="B24" s="223"/>
      <c r="C24" s="223"/>
      <c r="D24" s="223"/>
      <c r="E24" s="223"/>
      <c r="F24" s="223"/>
      <c r="G24" s="223"/>
      <c r="H24" s="223"/>
      <c r="I24" s="223"/>
      <c r="J24" s="223"/>
      <c r="K24" s="3"/>
      <c r="L24" s="3"/>
    </row>
    <row r="25" spans="1:13" ht="15" customHeight="1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3"/>
      <c r="L25" s="3"/>
    </row>
    <row r="26" spans="1:13" ht="15" customHeight="1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3"/>
      <c r="L26" s="3"/>
    </row>
    <row r="28" spans="1:13" ht="15" customHeight="1">
      <c r="A28" s="223" t="s">
        <v>124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</row>
    <row r="29" spans="1:13" ht="15" customHeight="1">
      <c r="A29" s="223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</row>
    <row r="30" spans="1:13" ht="15" customHeight="1">
      <c r="A30" s="223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</row>
    <row r="31" spans="1:13" ht="15" customHeight="1">
      <c r="A31" s="223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1"/>
  <sheetViews>
    <sheetView rightToLeft="1" view="pageBreakPreview" topLeftCell="A16" zoomScale="60" zoomScaleNormal="100" workbookViewId="0">
      <selection activeCell="A5" sqref="A5:W5"/>
    </sheetView>
  </sheetViews>
  <sheetFormatPr defaultColWidth="9.140625" defaultRowHeight="30.75"/>
  <cols>
    <col min="1" max="1" width="55.42578125" style="62" bestFit="1" customWidth="1"/>
    <col min="2" max="2" width="1.85546875" style="62" customWidth="1"/>
    <col min="3" max="3" width="22.5703125" style="4" customWidth="1"/>
    <col min="4" max="4" width="1.140625" style="4" customWidth="1"/>
    <col min="5" max="5" width="32" style="4" customWidth="1"/>
    <col min="6" max="6" width="1.42578125" style="4" customWidth="1"/>
    <col min="7" max="7" width="32.140625" style="4" customWidth="1"/>
    <col min="8" max="8" width="1.5703125" style="4" customWidth="1"/>
    <col min="9" max="9" width="20.5703125" style="4" bestFit="1" customWidth="1"/>
    <col min="10" max="10" width="29.140625" style="4" bestFit="1" customWidth="1"/>
    <col min="11" max="11" width="1.42578125" style="4" customWidth="1"/>
    <col min="12" max="12" width="20.7109375" style="4" customWidth="1"/>
    <col min="13" max="13" width="29.140625" style="4" customWidth="1"/>
    <col min="14" max="14" width="1.140625" style="4" customWidth="1"/>
    <col min="15" max="15" width="22.5703125" style="4" bestFit="1" customWidth="1"/>
    <col min="16" max="16" width="1.42578125" style="4" customWidth="1"/>
    <col min="17" max="17" width="18.7109375" style="4" customWidth="1"/>
    <col min="18" max="18" width="1.5703125" style="4" customWidth="1"/>
    <col min="19" max="19" width="32" style="4" bestFit="1" customWidth="1"/>
    <col min="20" max="20" width="1.85546875" style="4" customWidth="1"/>
    <col min="21" max="21" width="37.42578125" style="4" bestFit="1" customWidth="1"/>
    <col min="22" max="22" width="1.5703125" style="62" customWidth="1"/>
    <col min="23" max="23" width="21.85546875" style="9" customWidth="1"/>
    <col min="24" max="24" width="21.140625" style="4" bestFit="1" customWidth="1"/>
    <col min="25" max="25" width="14.140625" style="4" bestFit="1" customWidth="1"/>
    <col min="26" max="26" width="9.140625" style="62"/>
    <col min="27" max="28" width="14.85546875" style="5" bestFit="1" customWidth="1"/>
    <col min="29" max="29" width="17.140625" style="62" bestFit="1" customWidth="1"/>
    <col min="30" max="16384" width="9.140625" style="62"/>
  </cols>
  <sheetData>
    <row r="1" spans="1:33" ht="31.5">
      <c r="A1" s="224" t="s">
        <v>94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</row>
    <row r="2" spans="1:33" ht="31.5">
      <c r="A2" s="224" t="s">
        <v>51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</row>
    <row r="3" spans="1:33" ht="31.5">
      <c r="A3" s="224" t="s">
        <v>125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1:33" ht="31.5">
      <c r="A4" s="232" t="s">
        <v>25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</row>
    <row r="5" spans="1:33" ht="31.5">
      <c r="A5" s="232" t="s">
        <v>26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</row>
    <row r="7" spans="1:33" ht="36.75" customHeight="1" thickBot="1">
      <c r="A7" s="63"/>
      <c r="B7" s="64"/>
      <c r="C7" s="234" t="s">
        <v>123</v>
      </c>
      <c r="D7" s="234"/>
      <c r="E7" s="234"/>
      <c r="F7" s="234"/>
      <c r="G7" s="234"/>
      <c r="H7" s="6"/>
      <c r="I7" s="233" t="s">
        <v>7</v>
      </c>
      <c r="J7" s="233"/>
      <c r="K7" s="233"/>
      <c r="L7" s="233"/>
      <c r="M7" s="233"/>
      <c r="O7" s="235" t="s">
        <v>126</v>
      </c>
      <c r="P7" s="235"/>
      <c r="Q7" s="235"/>
      <c r="R7" s="235"/>
      <c r="S7" s="235"/>
      <c r="T7" s="235"/>
      <c r="U7" s="235"/>
      <c r="V7" s="235"/>
      <c r="W7" s="235"/>
    </row>
    <row r="8" spans="1:33" ht="29.25" customHeight="1">
      <c r="A8" s="225" t="s">
        <v>1</v>
      </c>
      <c r="B8" s="65"/>
      <c r="C8" s="229" t="s">
        <v>3</v>
      </c>
      <c r="D8" s="231"/>
      <c r="E8" s="229" t="s">
        <v>0</v>
      </c>
      <c r="F8" s="231"/>
      <c r="G8" s="231" t="s">
        <v>21</v>
      </c>
      <c r="H8" s="55"/>
      <c r="I8" s="227" t="s">
        <v>4</v>
      </c>
      <c r="J8" s="227"/>
      <c r="K8" s="7"/>
      <c r="L8" s="227" t="s">
        <v>5</v>
      </c>
      <c r="M8" s="227"/>
      <c r="O8" s="229" t="s">
        <v>3</v>
      </c>
      <c r="P8" s="228"/>
      <c r="Q8" s="231" t="s">
        <v>33</v>
      </c>
      <c r="R8" s="192"/>
      <c r="S8" s="229" t="s">
        <v>0</v>
      </c>
      <c r="T8" s="228"/>
      <c r="U8" s="231" t="s">
        <v>21</v>
      </c>
      <c r="V8" s="66"/>
      <c r="W8" s="237" t="s">
        <v>22</v>
      </c>
    </row>
    <row r="9" spans="1:33" ht="49.5" customHeight="1" thickBot="1">
      <c r="A9" s="226"/>
      <c r="B9" s="65"/>
      <c r="C9" s="230"/>
      <c r="D9" s="228"/>
      <c r="E9" s="230"/>
      <c r="F9" s="228"/>
      <c r="G9" s="236"/>
      <c r="H9" s="55"/>
      <c r="I9" s="193" t="s">
        <v>3</v>
      </c>
      <c r="J9" s="193" t="s">
        <v>0</v>
      </c>
      <c r="K9" s="7"/>
      <c r="L9" s="193" t="s">
        <v>3</v>
      </c>
      <c r="M9" s="193" t="s">
        <v>50</v>
      </c>
      <c r="O9" s="230"/>
      <c r="P9" s="228"/>
      <c r="Q9" s="236"/>
      <c r="R9" s="192"/>
      <c r="S9" s="230"/>
      <c r="T9" s="228"/>
      <c r="U9" s="236"/>
      <c r="V9" s="66"/>
      <c r="W9" s="238"/>
    </row>
    <row r="10" spans="1:33" ht="28.5" customHeight="1">
      <c r="A10" s="4" t="s">
        <v>127</v>
      </c>
      <c r="C10" s="203">
        <v>0</v>
      </c>
      <c r="E10" s="4">
        <v>0</v>
      </c>
      <c r="G10" s="203">
        <v>0</v>
      </c>
      <c r="I10" s="4">
        <v>297640</v>
      </c>
      <c r="J10" s="4">
        <v>2439521117</v>
      </c>
      <c r="K10" s="67"/>
      <c r="L10" s="4">
        <v>0</v>
      </c>
      <c r="M10" s="4">
        <v>0</v>
      </c>
      <c r="O10" s="4">
        <v>297640</v>
      </c>
      <c r="Q10" s="204">
        <v>8050</v>
      </c>
      <c r="S10" s="4">
        <v>2439521117</v>
      </c>
      <c r="U10" s="203">
        <v>2381745789</v>
      </c>
      <c r="V10" s="67"/>
      <c r="W10" s="8">
        <f>U10/درآمدها!$J$5</f>
        <v>1.1845881332579796E-2</v>
      </c>
      <c r="Z10" s="68"/>
      <c r="AC10" s="68"/>
      <c r="AD10" s="69"/>
      <c r="AE10" s="68"/>
      <c r="AF10" s="69"/>
      <c r="AG10" s="68"/>
    </row>
    <row r="11" spans="1:33" ht="28.5" customHeight="1">
      <c r="A11" s="4" t="s">
        <v>102</v>
      </c>
      <c r="C11" s="203">
        <v>2834712</v>
      </c>
      <c r="E11" s="4">
        <v>9931354085</v>
      </c>
      <c r="G11" s="203">
        <v>10586645411</v>
      </c>
      <c r="I11" s="4">
        <v>0</v>
      </c>
      <c r="J11" s="4">
        <v>0</v>
      </c>
      <c r="K11" s="67"/>
      <c r="L11" s="4">
        <v>1019214</v>
      </c>
      <c r="M11" s="4">
        <v>3808558533</v>
      </c>
      <c r="O11" s="4">
        <v>1815498</v>
      </c>
      <c r="Q11" s="204">
        <v>3718</v>
      </c>
      <c r="S11" s="4">
        <v>6360559196</v>
      </c>
      <c r="U11" s="203">
        <v>6709858939</v>
      </c>
      <c r="V11" s="67"/>
      <c r="W11" s="8">
        <f>U11/درآمدها!$J$5</f>
        <v>3.337224027721112E-2</v>
      </c>
      <c r="Z11" s="68"/>
      <c r="AC11" s="68"/>
      <c r="AD11" s="69"/>
      <c r="AE11" s="68"/>
      <c r="AF11" s="69"/>
      <c r="AG11" s="68"/>
    </row>
    <row r="12" spans="1:33" ht="28.5" customHeight="1">
      <c r="A12" s="4" t="s">
        <v>110</v>
      </c>
      <c r="C12" s="203">
        <v>394794</v>
      </c>
      <c r="E12" s="4">
        <v>4986472943</v>
      </c>
      <c r="G12" s="203">
        <v>5364722820</v>
      </c>
      <c r="I12" s="4">
        <v>0</v>
      </c>
      <c r="J12" s="4">
        <v>0</v>
      </c>
      <c r="K12" s="67"/>
      <c r="L12" s="4">
        <v>394794</v>
      </c>
      <c r="M12" s="4">
        <v>5585895242</v>
      </c>
      <c r="O12" s="4">
        <v>0</v>
      </c>
      <c r="Q12" s="204">
        <v>0</v>
      </c>
      <c r="S12" s="4">
        <v>0</v>
      </c>
      <c r="U12" s="203">
        <v>0</v>
      </c>
      <c r="V12" s="67"/>
      <c r="W12" s="8">
        <f>U12/درآمدها!$J$5</f>
        <v>0</v>
      </c>
      <c r="Z12" s="68"/>
      <c r="AC12" s="68"/>
      <c r="AD12" s="69"/>
      <c r="AE12" s="68"/>
      <c r="AF12" s="69"/>
      <c r="AG12" s="68"/>
    </row>
    <row r="13" spans="1:33" ht="28.5" customHeight="1">
      <c r="A13" s="4" t="s">
        <v>112</v>
      </c>
      <c r="C13" s="203">
        <v>212851</v>
      </c>
      <c r="E13" s="4">
        <v>3236539470</v>
      </c>
      <c r="G13" s="203">
        <v>3249938485</v>
      </c>
      <c r="I13" s="4">
        <v>0</v>
      </c>
      <c r="J13" s="4">
        <v>0</v>
      </c>
      <c r="K13" s="67"/>
      <c r="L13" s="4">
        <v>107305</v>
      </c>
      <c r="M13" s="4">
        <v>1729936320</v>
      </c>
      <c r="O13" s="4">
        <v>105546</v>
      </c>
      <c r="Q13" s="204">
        <v>17470</v>
      </c>
      <c r="S13" s="4">
        <v>1604896359</v>
      </c>
      <c r="U13" s="203">
        <v>1832917486</v>
      </c>
      <c r="V13" s="67"/>
      <c r="W13" s="8">
        <f>U13/درآمدها!$J$5</f>
        <v>9.1162218620664433E-3</v>
      </c>
      <c r="Z13" s="68"/>
      <c r="AC13" s="68"/>
      <c r="AD13" s="69"/>
      <c r="AE13" s="68"/>
      <c r="AF13" s="69"/>
      <c r="AG13" s="68"/>
    </row>
    <row r="14" spans="1:33" ht="28.5" customHeight="1">
      <c r="A14" s="4" t="s">
        <v>99</v>
      </c>
      <c r="C14" s="203">
        <v>184451</v>
      </c>
      <c r="E14" s="4">
        <v>10665130154</v>
      </c>
      <c r="G14" s="203">
        <v>7601836798</v>
      </c>
      <c r="I14" s="4">
        <v>0</v>
      </c>
      <c r="J14" s="4">
        <v>0</v>
      </c>
      <c r="K14" s="67"/>
      <c r="L14" s="4">
        <v>33030</v>
      </c>
      <c r="M14" s="4">
        <v>1337407259</v>
      </c>
      <c r="O14" s="4">
        <v>151421</v>
      </c>
      <c r="Q14" s="204">
        <v>42870</v>
      </c>
      <c r="S14" s="4">
        <v>8755304515</v>
      </c>
      <c r="U14" s="203">
        <v>6452794335</v>
      </c>
      <c r="V14" s="67"/>
      <c r="W14" s="8">
        <f>U14/درآمدها!$J$5</f>
        <v>3.2093700473402265E-2</v>
      </c>
      <c r="Z14" s="68"/>
      <c r="AC14" s="68"/>
      <c r="AD14" s="69"/>
      <c r="AE14" s="68"/>
      <c r="AF14" s="69"/>
      <c r="AG14" s="68"/>
    </row>
    <row r="15" spans="1:33" ht="28.5" customHeight="1">
      <c r="A15" s="4" t="s">
        <v>128</v>
      </c>
      <c r="C15" s="203">
        <v>0</v>
      </c>
      <c r="E15" s="4">
        <v>0</v>
      </c>
      <c r="G15" s="203">
        <v>0</v>
      </c>
      <c r="I15" s="4">
        <v>661436</v>
      </c>
      <c r="K15" s="67"/>
      <c r="L15" s="4">
        <v>0</v>
      </c>
      <c r="M15" s="4">
        <v>0</v>
      </c>
      <c r="O15" s="4">
        <v>661436</v>
      </c>
      <c r="Q15" s="204">
        <v>7810</v>
      </c>
      <c r="S15" s="4">
        <v>7210112069</v>
      </c>
      <c r="U15" s="203">
        <v>5120355991</v>
      </c>
      <c r="V15" s="67"/>
      <c r="W15" s="8">
        <f>U15/درآمدها!$J$5</f>
        <v>2.5466668076032029E-2</v>
      </c>
      <c r="Z15" s="68"/>
      <c r="AC15" s="68"/>
      <c r="AD15" s="69"/>
      <c r="AE15" s="68"/>
      <c r="AF15" s="69"/>
      <c r="AG15" s="68"/>
    </row>
    <row r="16" spans="1:33" ht="28.5" customHeight="1">
      <c r="A16" s="4" t="s">
        <v>101</v>
      </c>
      <c r="C16" s="203">
        <v>539819</v>
      </c>
      <c r="E16" s="4">
        <v>11758885708</v>
      </c>
      <c r="G16" s="203">
        <v>9948695210</v>
      </c>
      <c r="I16" s="4">
        <v>0</v>
      </c>
      <c r="J16" s="4">
        <v>0</v>
      </c>
      <c r="K16" s="67"/>
      <c r="L16" s="4">
        <v>155823</v>
      </c>
      <c r="M16" s="4">
        <v>2862374413</v>
      </c>
      <c r="O16" s="4">
        <v>383996</v>
      </c>
      <c r="Q16" s="204">
        <v>18580</v>
      </c>
      <c r="S16" s="4">
        <v>8364590866</v>
      </c>
      <c r="U16" s="203">
        <v>7092194542</v>
      </c>
      <c r="V16" s="67"/>
      <c r="W16" s="8">
        <f>U16/درآمدها!$J$5</f>
        <v>3.5273829524592522E-2</v>
      </c>
      <c r="Z16" s="68"/>
      <c r="AC16" s="68"/>
      <c r="AD16" s="69"/>
      <c r="AE16" s="68"/>
      <c r="AF16" s="69"/>
      <c r="AG16" s="68"/>
    </row>
    <row r="17" spans="1:33" ht="28.5" customHeight="1">
      <c r="A17" s="4" t="s">
        <v>115</v>
      </c>
      <c r="C17" s="203">
        <v>4559</v>
      </c>
      <c r="E17" s="4">
        <v>119097372</v>
      </c>
      <c r="G17" s="203">
        <v>111121553</v>
      </c>
      <c r="I17" s="4">
        <v>0</v>
      </c>
      <c r="J17" s="4">
        <v>0</v>
      </c>
      <c r="K17" s="67"/>
      <c r="L17" s="4">
        <v>4559</v>
      </c>
      <c r="M17" s="4">
        <v>111655142</v>
      </c>
      <c r="O17" s="4">
        <v>0</v>
      </c>
      <c r="Q17" s="204">
        <v>0</v>
      </c>
      <c r="S17" s="4">
        <v>0</v>
      </c>
      <c r="U17" s="203">
        <v>0</v>
      </c>
      <c r="V17" s="67"/>
      <c r="W17" s="8">
        <f>U17/درآمدها!$J$5</f>
        <v>0</v>
      </c>
      <c r="Z17" s="68"/>
      <c r="AC17" s="68"/>
      <c r="AD17" s="69"/>
      <c r="AE17" s="68"/>
      <c r="AF17" s="69"/>
      <c r="AG17" s="68"/>
    </row>
    <row r="18" spans="1:33" ht="28.5" customHeight="1">
      <c r="A18" s="4" t="s">
        <v>98</v>
      </c>
      <c r="C18" s="203">
        <v>424493</v>
      </c>
      <c r="E18" s="4">
        <v>8168554398</v>
      </c>
      <c r="G18" s="203">
        <v>6422341801</v>
      </c>
      <c r="I18" s="4">
        <v>0</v>
      </c>
      <c r="J18" s="4">
        <v>0</v>
      </c>
      <c r="K18" s="67"/>
      <c r="L18" s="4">
        <v>223882</v>
      </c>
      <c r="M18" s="4">
        <v>3439560733</v>
      </c>
      <c r="O18" s="4">
        <v>200611</v>
      </c>
      <c r="Q18" s="204">
        <v>18040</v>
      </c>
      <c r="S18" s="4">
        <v>3860374297</v>
      </c>
      <c r="U18" s="203">
        <v>3597489259</v>
      </c>
      <c r="V18" s="67"/>
      <c r="W18" s="8">
        <f>U18/درآمدها!$J$5</f>
        <v>1.7892518611416098E-2</v>
      </c>
      <c r="Z18" s="68"/>
      <c r="AC18" s="70"/>
      <c r="AD18" s="69"/>
      <c r="AE18" s="68"/>
      <c r="AF18" s="69"/>
      <c r="AG18" s="68"/>
    </row>
    <row r="19" spans="1:33" ht="28.5" customHeight="1">
      <c r="A19" s="4" t="s">
        <v>96</v>
      </c>
      <c r="C19" s="203">
        <v>527340</v>
      </c>
      <c r="E19" s="4">
        <v>11414404265</v>
      </c>
      <c r="G19" s="203">
        <v>10730421638</v>
      </c>
      <c r="I19" s="4">
        <v>0</v>
      </c>
      <c r="J19" s="4">
        <v>0</v>
      </c>
      <c r="K19" s="67"/>
      <c r="L19" s="4">
        <v>271495</v>
      </c>
      <c r="M19" s="4">
        <v>5804972466</v>
      </c>
      <c r="O19" s="4">
        <v>255845</v>
      </c>
      <c r="Q19" s="204">
        <v>23970</v>
      </c>
      <c r="S19" s="4">
        <v>5537828079</v>
      </c>
      <c r="U19" s="203">
        <v>6096115655</v>
      </c>
      <c r="V19" s="67"/>
      <c r="W19" s="8">
        <f>U19/درآمدها!$J$5</f>
        <v>3.0319718826555236E-2</v>
      </c>
      <c r="Z19" s="68"/>
      <c r="AC19" s="68"/>
      <c r="AD19" s="69"/>
      <c r="AE19" s="68"/>
      <c r="AF19" s="69"/>
      <c r="AG19" s="68"/>
    </row>
    <row r="20" spans="1:33" ht="28.5" customHeight="1">
      <c r="A20" s="4" t="s">
        <v>111</v>
      </c>
      <c r="C20" s="203">
        <v>88528</v>
      </c>
      <c r="E20" s="4">
        <v>2049857551</v>
      </c>
      <c r="G20" s="203">
        <v>2206191553</v>
      </c>
      <c r="I20" s="4">
        <v>0</v>
      </c>
      <c r="J20" s="4">
        <v>0</v>
      </c>
      <c r="K20" s="67"/>
      <c r="L20" s="4">
        <v>44630</v>
      </c>
      <c r="M20" s="4">
        <v>1197226455</v>
      </c>
      <c r="O20" s="4">
        <v>43898</v>
      </c>
      <c r="Q20" s="204">
        <v>27910</v>
      </c>
      <c r="S20" s="4">
        <v>1016454080</v>
      </c>
      <c r="U20" s="203">
        <v>1217903285</v>
      </c>
      <c r="V20" s="67"/>
      <c r="W20" s="8">
        <f>U20/درآمدها!$J$5</f>
        <v>6.0573793623569247E-3</v>
      </c>
      <c r="Z20" s="68"/>
      <c r="AC20" s="68"/>
      <c r="AD20" s="69"/>
      <c r="AE20" s="68"/>
      <c r="AF20" s="69"/>
      <c r="AG20" s="68"/>
    </row>
    <row r="21" spans="1:33" ht="28.5" customHeight="1">
      <c r="A21" s="4" t="s">
        <v>113</v>
      </c>
      <c r="C21" s="203">
        <v>7881</v>
      </c>
      <c r="E21" s="4">
        <v>756434220</v>
      </c>
      <c r="G21" s="203">
        <v>710318579</v>
      </c>
      <c r="I21" s="4">
        <v>0</v>
      </c>
      <c r="J21" s="4">
        <v>0</v>
      </c>
      <c r="K21" s="67"/>
      <c r="L21" s="4">
        <v>7881</v>
      </c>
      <c r="M21" s="4">
        <v>722013777</v>
      </c>
      <c r="O21" s="4">
        <v>0</v>
      </c>
      <c r="Q21" s="204">
        <v>0</v>
      </c>
      <c r="S21" s="4">
        <v>0</v>
      </c>
      <c r="U21" s="203">
        <v>0</v>
      </c>
      <c r="V21" s="67"/>
      <c r="W21" s="8">
        <f>U21/درآمدها!$J$5</f>
        <v>0</v>
      </c>
      <c r="Z21" s="68"/>
      <c r="AC21" s="68"/>
      <c r="AD21" s="69"/>
      <c r="AE21" s="68"/>
      <c r="AF21" s="69"/>
      <c r="AG21" s="68"/>
    </row>
    <row r="22" spans="1:33" ht="28.5" customHeight="1">
      <c r="A22" s="4" t="s">
        <v>108</v>
      </c>
      <c r="C22" s="203">
        <v>33664</v>
      </c>
      <c r="E22" s="4">
        <v>1048777109</v>
      </c>
      <c r="G22" s="203">
        <v>991194774</v>
      </c>
      <c r="I22" s="4">
        <v>30282</v>
      </c>
      <c r="J22" s="4">
        <v>996991083</v>
      </c>
      <c r="K22" s="67"/>
      <c r="L22" s="4">
        <v>16970</v>
      </c>
      <c r="M22" s="4">
        <v>526836424</v>
      </c>
      <c r="O22" s="4">
        <v>46976</v>
      </c>
      <c r="Q22" s="204">
        <v>33440</v>
      </c>
      <c r="S22" s="4">
        <v>1517080349</v>
      </c>
      <c r="U22" s="203">
        <v>1561530722</v>
      </c>
      <c r="V22" s="67"/>
      <c r="W22" s="8">
        <f>U22/درآمدها!$J$5</f>
        <v>7.766449180017696E-3</v>
      </c>
      <c r="Z22" s="68"/>
      <c r="AC22" s="68"/>
      <c r="AD22" s="69"/>
      <c r="AE22" s="68"/>
      <c r="AF22" s="69"/>
      <c r="AG22" s="68"/>
    </row>
    <row r="23" spans="1:33" ht="28.5" customHeight="1">
      <c r="A23" s="4" t="s">
        <v>114</v>
      </c>
      <c r="C23" s="203">
        <v>79677</v>
      </c>
      <c r="E23" s="4">
        <v>2031556827</v>
      </c>
      <c r="G23" s="203">
        <v>1877109250</v>
      </c>
      <c r="I23" s="4">
        <v>0</v>
      </c>
      <c r="J23" s="4">
        <v>0</v>
      </c>
      <c r="K23" s="67"/>
      <c r="L23" s="4">
        <v>40167</v>
      </c>
      <c r="M23" s="4">
        <v>979473149</v>
      </c>
      <c r="O23" s="4">
        <v>39510</v>
      </c>
      <c r="Q23" s="204">
        <v>26640</v>
      </c>
      <c r="S23" s="4">
        <v>1007402516</v>
      </c>
      <c r="U23" s="203">
        <v>1046283752</v>
      </c>
      <c r="V23" s="67"/>
      <c r="W23" s="8">
        <f>U23/درآمدها!$J$5</f>
        <v>5.2038102570141033E-3</v>
      </c>
      <c r="Z23" s="68"/>
      <c r="AC23" s="68"/>
      <c r="AD23" s="69"/>
      <c r="AE23" s="68"/>
      <c r="AF23" s="69"/>
      <c r="AG23" s="68"/>
    </row>
    <row r="24" spans="1:33" ht="28.5" customHeight="1">
      <c r="A24" s="4" t="s">
        <v>109</v>
      </c>
      <c r="C24" s="203">
        <v>12837776</v>
      </c>
      <c r="E24" s="4">
        <v>69508184130</v>
      </c>
      <c r="G24" s="203">
        <v>86113868043</v>
      </c>
      <c r="I24" s="4">
        <v>0</v>
      </c>
      <c r="J24" s="4">
        <v>0</v>
      </c>
      <c r="K24" s="67"/>
      <c r="L24" s="4">
        <v>0</v>
      </c>
      <c r="M24" s="4">
        <v>0</v>
      </c>
      <c r="O24" s="4">
        <v>12837776</v>
      </c>
      <c r="Q24" s="204">
        <v>6580</v>
      </c>
      <c r="S24" s="4">
        <v>69508184130</v>
      </c>
      <c r="U24" s="203">
        <v>83969954316</v>
      </c>
      <c r="V24" s="67"/>
      <c r="W24" s="8">
        <f>U24/درآمدها!$J$5</f>
        <v>0.41763403925114806</v>
      </c>
      <c r="Z24" s="68"/>
      <c r="AC24" s="68"/>
      <c r="AD24" s="69"/>
      <c r="AE24" s="68"/>
      <c r="AF24" s="69"/>
      <c r="AG24" s="68"/>
    </row>
    <row r="25" spans="1:33" ht="28.5" customHeight="1">
      <c r="A25" s="4" t="s">
        <v>97</v>
      </c>
      <c r="C25" s="203">
        <v>304192</v>
      </c>
      <c r="E25" s="4">
        <v>7162787762</v>
      </c>
      <c r="G25" s="203">
        <v>5334019500</v>
      </c>
      <c r="I25" s="4">
        <v>0</v>
      </c>
      <c r="J25" s="4">
        <v>0</v>
      </c>
      <c r="K25" s="67"/>
      <c r="L25" s="4">
        <v>153354</v>
      </c>
      <c r="M25" s="4">
        <v>2669169811</v>
      </c>
      <c r="O25" s="4">
        <v>150838</v>
      </c>
      <c r="Q25" s="204">
        <v>18090</v>
      </c>
      <c r="S25" s="4">
        <v>3551771843</v>
      </c>
      <c r="U25" s="203">
        <v>2712423900</v>
      </c>
      <c r="V25" s="67"/>
      <c r="W25" s="8">
        <f>U25/درآمدها!$J$5</f>
        <v>1.3490546216749619E-2</v>
      </c>
      <c r="Z25" s="68"/>
      <c r="AC25" s="68"/>
      <c r="AD25" s="69"/>
      <c r="AE25" s="68"/>
      <c r="AF25" s="69"/>
      <c r="AG25" s="68"/>
    </row>
    <row r="26" spans="1:33" ht="28.5" customHeight="1">
      <c r="A26" s="4" t="s">
        <v>95</v>
      </c>
      <c r="C26" s="203">
        <v>935602</v>
      </c>
      <c r="E26" s="4">
        <v>10717377279</v>
      </c>
      <c r="G26" s="203">
        <v>10221086502</v>
      </c>
      <c r="I26" s="4">
        <v>0</v>
      </c>
      <c r="J26" s="4">
        <v>0</v>
      </c>
      <c r="K26" s="67"/>
      <c r="L26" s="4">
        <v>695406</v>
      </c>
      <c r="M26" s="4">
        <v>7771727267</v>
      </c>
      <c r="O26" s="4">
        <v>240196</v>
      </c>
      <c r="Q26" s="204">
        <v>12370</v>
      </c>
      <c r="S26" s="4">
        <v>2751459652</v>
      </c>
      <c r="U26" s="203">
        <v>2953545738</v>
      </c>
      <c r="V26" s="67"/>
      <c r="W26" s="8">
        <f>U26/درآمدها!$J$5</f>
        <v>1.4689792875579978E-2</v>
      </c>
      <c r="Z26" s="68"/>
      <c r="AC26" s="68"/>
      <c r="AD26" s="69"/>
      <c r="AE26" s="68"/>
      <c r="AF26" s="69"/>
      <c r="AG26" s="68"/>
    </row>
    <row r="27" spans="1:33" ht="28.5" customHeight="1">
      <c r="A27" s="4" t="s">
        <v>129</v>
      </c>
      <c r="C27" s="203">
        <v>1764770</v>
      </c>
      <c r="E27" s="4">
        <v>6519723536</v>
      </c>
      <c r="G27" s="203">
        <v>5350522340</v>
      </c>
      <c r="I27" s="4">
        <v>0</v>
      </c>
      <c r="J27" s="4">
        <v>0</v>
      </c>
      <c r="K27" s="67"/>
      <c r="L27" s="4">
        <v>0</v>
      </c>
      <c r="M27" s="4">
        <v>0</v>
      </c>
      <c r="O27" s="4">
        <v>1764770</v>
      </c>
      <c r="Q27" s="204">
        <v>3345</v>
      </c>
      <c r="S27" s="4">
        <v>6519723536</v>
      </c>
      <c r="U27" s="203">
        <v>5868031878</v>
      </c>
      <c r="V27" s="67"/>
      <c r="W27" s="8">
        <f>U27/درآمدها!$J$5</f>
        <v>2.9185318434747261E-2</v>
      </c>
      <c r="Z27" s="68"/>
      <c r="AC27" s="68"/>
      <c r="AD27" s="69"/>
      <c r="AE27" s="68"/>
      <c r="AF27" s="69"/>
      <c r="AG27" s="68"/>
    </row>
    <row r="28" spans="1:33" ht="28.5" customHeight="1">
      <c r="A28" s="4" t="s">
        <v>100</v>
      </c>
      <c r="C28" s="203">
        <v>343719</v>
      </c>
      <c r="E28" s="4">
        <v>11584046909</v>
      </c>
      <c r="G28" s="203">
        <v>8015669040</v>
      </c>
      <c r="I28" s="4">
        <v>0</v>
      </c>
      <c r="J28" s="4">
        <v>0</v>
      </c>
      <c r="K28" s="67"/>
      <c r="L28" s="4">
        <v>13001</v>
      </c>
      <c r="M28" s="4">
        <v>299795144</v>
      </c>
      <c r="O28" s="4">
        <v>330718</v>
      </c>
      <c r="Q28" s="204">
        <v>8810</v>
      </c>
      <c r="S28" s="4">
        <v>3935774035</v>
      </c>
      <c r="U28" s="203">
        <v>2896289512</v>
      </c>
      <c r="V28" s="67"/>
      <c r="W28" s="8">
        <f>U28/درآمدها!$J$5</f>
        <v>1.4405022577305561E-2</v>
      </c>
      <c r="Z28" s="68"/>
      <c r="AC28" s="68"/>
      <c r="AD28" s="69"/>
      <c r="AE28" s="68"/>
      <c r="AF28" s="69"/>
      <c r="AG28" s="68"/>
    </row>
    <row r="29" spans="1:33" ht="28.5" customHeight="1">
      <c r="A29" s="4" t="s">
        <v>116</v>
      </c>
      <c r="C29" s="203">
        <v>5650000</v>
      </c>
      <c r="E29" s="4">
        <v>38159404804</v>
      </c>
      <c r="G29" s="203">
        <v>28755878400</v>
      </c>
      <c r="I29" s="4">
        <v>0</v>
      </c>
      <c r="J29" s="4">
        <v>0</v>
      </c>
      <c r="K29" s="67"/>
      <c r="L29" s="4">
        <v>5650000</v>
      </c>
      <c r="M29" s="4">
        <v>30879904020</v>
      </c>
      <c r="O29" s="4">
        <v>0</v>
      </c>
      <c r="Q29" s="204">
        <v>0</v>
      </c>
      <c r="S29" s="4">
        <v>0</v>
      </c>
      <c r="U29" s="203">
        <v>0</v>
      </c>
      <c r="V29" s="67"/>
      <c r="W29" s="8">
        <f>U29/درآمدها!$J$5</f>
        <v>0</v>
      </c>
      <c r="Z29" s="68"/>
      <c r="AC29" s="68"/>
      <c r="AD29" s="69"/>
      <c r="AE29" s="68"/>
      <c r="AF29" s="69"/>
      <c r="AG29" s="68"/>
    </row>
    <row r="30" spans="1:33" ht="28.5" customHeight="1" thickBot="1">
      <c r="A30" s="4" t="s">
        <v>2</v>
      </c>
      <c r="C30" s="203">
        <f>SUM(C10:C29)</f>
        <v>27168828</v>
      </c>
      <c r="E30" s="205">
        <f>SUM(E10:E29)</f>
        <v>209818588522</v>
      </c>
      <c r="G30" s="206">
        <f>SUM(G10:G29)</f>
        <v>203591581697</v>
      </c>
      <c r="I30" s="4">
        <f>SUM(I10:I29)</f>
        <v>989358</v>
      </c>
      <c r="J30" s="205">
        <f>SUM(J10:J29)</f>
        <v>3436512200</v>
      </c>
      <c r="K30" s="67"/>
      <c r="L30" s="4">
        <f>SUM(L10:L29)</f>
        <v>8831511</v>
      </c>
      <c r="M30" s="205">
        <f>SUM(M10:M29)</f>
        <v>69726506155</v>
      </c>
      <c r="O30" s="4">
        <f>SUM(O10:O29)</f>
        <v>19326675</v>
      </c>
      <c r="S30" s="205">
        <f>SUM(S10:S29)</f>
        <v>133941036639</v>
      </c>
      <c r="U30" s="205">
        <f>SUM(U10:U29)</f>
        <v>141509435099</v>
      </c>
      <c r="V30" s="67"/>
      <c r="W30" s="60">
        <f>SUM(W10:W29)</f>
        <v>0.7038131371387748</v>
      </c>
      <c r="Z30" s="68"/>
      <c r="AC30" s="68"/>
      <c r="AD30" s="69"/>
      <c r="AE30" s="68"/>
      <c r="AF30" s="69"/>
      <c r="AG30" s="68"/>
    </row>
    <row r="31" spans="1:33" ht="31.5" thickTop="1">
      <c r="A31" s="4"/>
    </row>
    <row r="32" spans="1:33">
      <c r="C32" s="69"/>
      <c r="E32" s="69"/>
      <c r="G32" s="69"/>
      <c r="I32" s="69"/>
      <c r="J32" s="69"/>
      <c r="S32" s="69"/>
      <c r="U32" s="69"/>
    </row>
    <row r="33" spans="2:21">
      <c r="B33" s="4"/>
      <c r="I33" s="182"/>
    </row>
    <row r="34" spans="2:21">
      <c r="B34" s="4"/>
    </row>
    <row r="35" spans="2:21">
      <c r="B35" s="4"/>
      <c r="S35" s="10"/>
      <c r="U35" s="10"/>
    </row>
    <row r="36" spans="2:21">
      <c r="B36" s="4"/>
    </row>
    <row r="37" spans="2:21">
      <c r="B37" s="4"/>
    </row>
    <row r="38" spans="2:21">
      <c r="B38" s="4"/>
    </row>
    <row r="39" spans="2:21">
      <c r="B39" s="4"/>
    </row>
    <row r="40" spans="2:21">
      <c r="B40" s="4"/>
    </row>
    <row r="41" spans="2:21">
      <c r="B41" s="4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5"/>
  <sheetViews>
    <sheetView rightToLeft="1" view="pageBreakPreview" zoomScale="60" zoomScaleNormal="100" workbookViewId="0">
      <selection activeCell="A17" sqref="A17"/>
    </sheetView>
  </sheetViews>
  <sheetFormatPr defaultColWidth="9.140625" defaultRowHeight="15.75"/>
  <cols>
    <col min="1" max="1" width="45.7109375" style="170" customWidth="1"/>
    <col min="2" max="2" width="0.5703125" style="170" customWidth="1"/>
    <col min="3" max="3" width="12.5703125" style="170" customWidth="1"/>
    <col min="4" max="4" width="0.5703125" style="170" customWidth="1"/>
    <col min="5" max="5" width="29.140625" style="170" customWidth="1"/>
    <col min="6" max="6" width="0.5703125" style="170" customWidth="1"/>
    <col min="7" max="7" width="15.42578125" style="170" bestFit="1" customWidth="1"/>
    <col min="8" max="8" width="0.5703125" style="170" customWidth="1"/>
    <col min="9" max="9" width="16.5703125" style="170" bestFit="1" customWidth="1"/>
    <col min="10" max="10" width="0.42578125" style="170" customWidth="1"/>
    <col min="11" max="11" width="20.42578125" style="170" bestFit="1" customWidth="1"/>
    <col min="12" max="12" width="0.7109375" style="170" customWidth="1"/>
    <col min="13" max="13" width="13.7109375" style="170" bestFit="1" customWidth="1"/>
    <col min="14" max="14" width="1.140625" style="170" customWidth="1"/>
    <col min="15" max="15" width="21.140625" style="170" bestFit="1" customWidth="1"/>
    <col min="16" max="16" width="0.5703125" style="170" customWidth="1"/>
    <col min="17" max="17" width="25.42578125" style="170" bestFit="1" customWidth="1"/>
    <col min="18" max="18" width="0.5703125" style="170" customWidth="1"/>
    <col min="19" max="19" width="13.7109375" style="170" bestFit="1" customWidth="1"/>
    <col min="20" max="20" width="25.42578125" style="170" bestFit="1" customWidth="1"/>
    <col min="21" max="21" width="0.5703125" style="170" customWidth="1"/>
    <col min="22" max="22" width="12.140625" style="170" bestFit="1" customWidth="1"/>
    <col min="23" max="23" width="23.7109375" style="170" bestFit="1" customWidth="1"/>
    <col min="24" max="24" width="0.5703125" style="170" customWidth="1"/>
    <col min="25" max="25" width="14.7109375" style="170" bestFit="1" customWidth="1"/>
    <col min="26" max="26" width="0.42578125" style="170" customWidth="1"/>
    <col min="27" max="27" width="23" style="170" bestFit="1" customWidth="1"/>
    <col min="28" max="28" width="0.7109375" style="170" customWidth="1"/>
    <col min="29" max="29" width="25.42578125" style="170" bestFit="1" customWidth="1"/>
    <col min="30" max="30" width="0.7109375" style="170" customWidth="1"/>
    <col min="31" max="31" width="25.42578125" style="170" bestFit="1" customWidth="1"/>
    <col min="32" max="32" width="0.7109375" style="170" customWidth="1"/>
    <col min="33" max="33" width="16.5703125" style="170" customWidth="1"/>
    <col min="34" max="34" width="9.140625" style="170"/>
    <col min="35" max="35" width="25.42578125" style="170" bestFit="1" customWidth="1"/>
    <col min="36" max="16384" width="9.140625" style="170"/>
  </cols>
  <sheetData>
    <row r="1" spans="1:35" s="83" customFormat="1" ht="24.75">
      <c r="A1" s="239" t="s">
        <v>94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</row>
    <row r="2" spans="1:35" s="83" customFormat="1" ht="24.75">
      <c r="A2" s="239" t="s">
        <v>51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</row>
    <row r="3" spans="1:35" s="83" customFormat="1" ht="24.75">
      <c r="A3" s="239" t="str">
        <f>' سهام'!A3:W3</f>
        <v>برای ماه منتهی به 1402/09/30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</row>
    <row r="4" spans="1:35" ht="24.75">
      <c r="A4" s="240" t="s">
        <v>68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</row>
    <row r="5" spans="1:35" ht="24.7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</row>
    <row r="6" spans="1:35" ht="27.75" customHeight="1" thickBot="1">
      <c r="A6" s="241" t="s">
        <v>69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 t="str" cm="1">
        <f t="array" ref="M6:Q6">' سهام'!C7:G7</f>
        <v>1402/08/30</v>
      </c>
      <c r="N6" s="241">
        <v>0</v>
      </c>
      <c r="O6" s="241">
        <v>0</v>
      </c>
      <c r="P6" s="241">
        <v>0</v>
      </c>
      <c r="Q6" s="241">
        <v>0</v>
      </c>
      <c r="R6" s="196"/>
      <c r="S6" s="242" t="s">
        <v>7</v>
      </c>
      <c r="T6" s="242"/>
      <c r="U6" s="242"/>
      <c r="V6" s="242"/>
      <c r="W6" s="242"/>
      <c r="X6" s="194"/>
      <c r="Y6" s="241" t="str" cm="1">
        <f t="array" ref="Y6:AG6">' سهام'!O7:W7</f>
        <v>1402/09/30</v>
      </c>
      <c r="Z6" s="241">
        <v>0</v>
      </c>
      <c r="AA6" s="241">
        <v>0</v>
      </c>
      <c r="AB6" s="241">
        <v>0</v>
      </c>
      <c r="AC6" s="241">
        <v>0</v>
      </c>
      <c r="AD6" s="241">
        <v>0</v>
      </c>
      <c r="AE6" s="241">
        <v>0</v>
      </c>
      <c r="AF6" s="241">
        <v>0</v>
      </c>
      <c r="AG6" s="241">
        <v>0</v>
      </c>
    </row>
    <row r="7" spans="1:35" ht="26.25" customHeight="1">
      <c r="A7" s="244" t="s">
        <v>70</v>
      </c>
      <c r="B7" s="195"/>
      <c r="C7" s="245" t="s">
        <v>71</v>
      </c>
      <c r="D7" s="195"/>
      <c r="E7" s="247" t="s">
        <v>76</v>
      </c>
      <c r="F7" s="195"/>
      <c r="G7" s="243" t="s">
        <v>72</v>
      </c>
      <c r="H7" s="195"/>
      <c r="I7" s="245" t="s">
        <v>23</v>
      </c>
      <c r="J7" s="195"/>
      <c r="K7" s="247" t="s">
        <v>73</v>
      </c>
      <c r="L7" s="171"/>
      <c r="M7" s="248" t="s">
        <v>3</v>
      </c>
      <c r="N7" s="243"/>
      <c r="O7" s="243" t="s">
        <v>0</v>
      </c>
      <c r="P7" s="243"/>
      <c r="Q7" s="243" t="s">
        <v>21</v>
      </c>
      <c r="R7" s="195"/>
      <c r="S7" s="239" t="s">
        <v>4</v>
      </c>
      <c r="T7" s="239"/>
      <c r="U7" s="194"/>
      <c r="V7" s="239" t="s">
        <v>5</v>
      </c>
      <c r="W7" s="239"/>
      <c r="X7" s="194"/>
      <c r="Y7" s="248" t="s">
        <v>3</v>
      </c>
      <c r="Z7" s="244"/>
      <c r="AA7" s="243" t="s">
        <v>74</v>
      </c>
      <c r="AB7" s="195"/>
      <c r="AC7" s="243" t="s">
        <v>0</v>
      </c>
      <c r="AD7" s="244"/>
      <c r="AE7" s="243" t="s">
        <v>21</v>
      </c>
      <c r="AF7" s="172"/>
      <c r="AG7" s="243" t="s">
        <v>22</v>
      </c>
    </row>
    <row r="8" spans="1:35" s="175" customFormat="1" ht="55.5" customHeight="1" thickBot="1">
      <c r="A8" s="241"/>
      <c r="B8" s="195"/>
      <c r="C8" s="246"/>
      <c r="D8" s="195"/>
      <c r="E8" s="246"/>
      <c r="F8" s="195"/>
      <c r="G8" s="241"/>
      <c r="H8" s="195"/>
      <c r="I8" s="246"/>
      <c r="J8" s="195"/>
      <c r="K8" s="246"/>
      <c r="L8" s="196"/>
      <c r="M8" s="249"/>
      <c r="N8" s="244"/>
      <c r="O8" s="241"/>
      <c r="P8" s="244"/>
      <c r="Q8" s="241"/>
      <c r="R8" s="195"/>
      <c r="S8" s="173" t="s">
        <v>3</v>
      </c>
      <c r="T8" s="173" t="s">
        <v>0</v>
      </c>
      <c r="U8" s="174"/>
      <c r="V8" s="173" t="s">
        <v>3</v>
      </c>
      <c r="W8" s="173" t="s">
        <v>50</v>
      </c>
      <c r="X8" s="174"/>
      <c r="Y8" s="249"/>
      <c r="Z8" s="244"/>
      <c r="AA8" s="241"/>
      <c r="AB8" s="195"/>
      <c r="AC8" s="241"/>
      <c r="AD8" s="244"/>
      <c r="AE8" s="241"/>
      <c r="AF8" s="172"/>
      <c r="AG8" s="241"/>
    </row>
    <row r="9" spans="1:35" s="175" customFormat="1" ht="55.5" customHeight="1">
      <c r="A9" s="176" t="s">
        <v>118</v>
      </c>
      <c r="B9" s="195"/>
      <c r="C9" s="177" t="s">
        <v>119</v>
      </c>
      <c r="D9" s="62"/>
      <c r="E9" s="177" t="s">
        <v>119</v>
      </c>
      <c r="F9" s="62"/>
      <c r="G9" s="177" t="s">
        <v>120</v>
      </c>
      <c r="H9" s="62"/>
      <c r="I9" s="177" t="s">
        <v>121</v>
      </c>
      <c r="J9" s="177"/>
      <c r="K9" s="178" t="s">
        <v>122</v>
      </c>
      <c r="L9" s="196"/>
      <c r="M9" s="4">
        <v>6500</v>
      </c>
      <c r="N9" s="67"/>
      <c r="O9" s="4">
        <v>4511808615</v>
      </c>
      <c r="P9" s="4"/>
      <c r="Q9" s="4">
        <v>4501733915</v>
      </c>
      <c r="R9" s="4"/>
      <c r="S9" s="4">
        <v>0</v>
      </c>
      <c r="T9" s="4">
        <v>0</v>
      </c>
      <c r="U9" s="4"/>
      <c r="V9" s="4">
        <v>1500</v>
      </c>
      <c r="W9" s="4">
        <v>1043254902</v>
      </c>
      <c r="X9" s="4"/>
      <c r="Y9" s="4">
        <v>5000</v>
      </c>
      <c r="Z9" s="4"/>
      <c r="AA9" s="207">
        <v>700850</v>
      </c>
      <c r="AB9" s="4"/>
      <c r="AC9" s="4">
        <v>3470622012</v>
      </c>
      <c r="AD9" s="4"/>
      <c r="AE9" s="4">
        <v>3503614857</v>
      </c>
      <c r="AG9" s="8">
        <f>AE9/درآمدها!$J$5</f>
        <v>1.7425623684428199E-2</v>
      </c>
      <c r="AI9" s="4"/>
    </row>
    <row r="10" spans="1:35" s="175" customFormat="1" ht="55.5" customHeight="1">
      <c r="A10" s="176" t="s">
        <v>130</v>
      </c>
      <c r="B10" s="195"/>
      <c r="C10" s="177" t="s">
        <v>119</v>
      </c>
      <c r="D10" s="62"/>
      <c r="E10" s="177" t="s">
        <v>119</v>
      </c>
      <c r="F10" s="62"/>
      <c r="G10" s="177" t="s">
        <v>133</v>
      </c>
      <c r="H10" s="62"/>
      <c r="I10" s="177" t="s">
        <v>136</v>
      </c>
      <c r="J10" s="177"/>
      <c r="K10" s="178" t="s">
        <v>122</v>
      </c>
      <c r="L10" s="196"/>
      <c r="M10" s="4">
        <v>0</v>
      </c>
      <c r="N10" s="67"/>
      <c r="O10" s="4">
        <v>0</v>
      </c>
      <c r="P10" s="4"/>
      <c r="Q10" s="4">
        <v>0</v>
      </c>
      <c r="R10" s="4"/>
      <c r="S10" s="4">
        <v>29600</v>
      </c>
      <c r="T10" s="4">
        <v>19953778963</v>
      </c>
      <c r="U10" s="4"/>
      <c r="V10" s="4">
        <v>0</v>
      </c>
      <c r="W10" s="4">
        <v>0</v>
      </c>
      <c r="X10" s="4"/>
      <c r="Y10" s="4">
        <v>29600</v>
      </c>
      <c r="Z10" s="4"/>
      <c r="AA10" s="207">
        <v>675250</v>
      </c>
      <c r="AB10" s="4"/>
      <c r="AC10" s="4">
        <v>19953778963</v>
      </c>
      <c r="AD10" s="4"/>
      <c r="AE10" s="4">
        <v>19983777285</v>
      </c>
      <c r="AG10" s="8">
        <f>AE10/درآمدها!$J$5</f>
        <v>9.9391570413652416E-2</v>
      </c>
      <c r="AI10" s="4"/>
    </row>
    <row r="11" spans="1:35" s="175" customFormat="1" ht="55.5" customHeight="1">
      <c r="A11" s="176" t="s">
        <v>131</v>
      </c>
      <c r="B11" s="195"/>
      <c r="C11" s="177" t="s">
        <v>119</v>
      </c>
      <c r="D11" s="62"/>
      <c r="E11" s="177" t="s">
        <v>119</v>
      </c>
      <c r="F11" s="62"/>
      <c r="G11" s="177" t="s">
        <v>134</v>
      </c>
      <c r="H11" s="62"/>
      <c r="I11" s="177" t="s">
        <v>137</v>
      </c>
      <c r="J11" s="177"/>
      <c r="K11" s="178" t="s">
        <v>122</v>
      </c>
      <c r="L11" s="196"/>
      <c r="M11" s="4">
        <v>0</v>
      </c>
      <c r="N11" s="67"/>
      <c r="O11" s="4">
        <v>0</v>
      </c>
      <c r="P11" s="4"/>
      <c r="Q11" s="4">
        <v>0</v>
      </c>
      <c r="R11" s="4"/>
      <c r="S11" s="4">
        <v>29100</v>
      </c>
      <c r="T11" s="4">
        <v>18932887958</v>
      </c>
      <c r="U11" s="4"/>
      <c r="V11" s="4">
        <v>0</v>
      </c>
      <c r="W11" s="4">
        <v>0</v>
      </c>
      <c r="X11" s="4"/>
      <c r="Y11" s="4">
        <v>29100</v>
      </c>
      <c r="Z11" s="4"/>
      <c r="AA11" s="207">
        <v>650660</v>
      </c>
      <c r="AB11" s="4"/>
      <c r="AC11" s="4">
        <v>18932887958</v>
      </c>
      <c r="AD11" s="4"/>
      <c r="AE11" s="4">
        <v>18930774177</v>
      </c>
      <c r="AG11" s="8">
        <f>AE11/درآمدها!$J$5</f>
        <v>9.4154340681656998E-2</v>
      </c>
      <c r="AI11" s="4"/>
    </row>
    <row r="12" spans="1:35" s="175" customFormat="1" ht="55.5" customHeight="1" thickBot="1">
      <c r="A12" s="176" t="s">
        <v>132</v>
      </c>
      <c r="B12" s="195"/>
      <c r="C12" s="177" t="s">
        <v>119</v>
      </c>
      <c r="D12" s="62"/>
      <c r="E12" s="177" t="s">
        <v>119</v>
      </c>
      <c r="F12" s="62"/>
      <c r="G12" s="177" t="s">
        <v>135</v>
      </c>
      <c r="H12" s="62"/>
      <c r="I12" s="177" t="s">
        <v>138</v>
      </c>
      <c r="J12" s="177"/>
      <c r="K12" s="178" t="s">
        <v>122</v>
      </c>
      <c r="L12" s="196"/>
      <c r="M12" s="4">
        <v>0</v>
      </c>
      <c r="N12" s="67"/>
      <c r="O12" s="4">
        <v>0</v>
      </c>
      <c r="P12" s="4"/>
      <c r="Q12" s="4">
        <v>0</v>
      </c>
      <c r="R12" s="4"/>
      <c r="S12" s="4">
        <v>27300</v>
      </c>
      <c r="T12" s="4">
        <v>14976399978</v>
      </c>
      <c r="U12" s="4"/>
      <c r="V12" s="4">
        <v>0</v>
      </c>
      <c r="W12" s="4">
        <v>0</v>
      </c>
      <c r="X12" s="4"/>
      <c r="Y12" s="4">
        <v>27300</v>
      </c>
      <c r="Z12" s="4"/>
      <c r="AA12" s="207">
        <v>549480</v>
      </c>
      <c r="AB12" s="4"/>
      <c r="AC12" s="4">
        <v>14976399978</v>
      </c>
      <c r="AD12" s="4"/>
      <c r="AE12" s="4">
        <v>14998085105</v>
      </c>
      <c r="AG12" s="8">
        <f>AE12/درآمدها!$J$5</f>
        <v>7.4594667991144947E-2</v>
      </c>
      <c r="AI12" s="4"/>
    </row>
    <row r="13" spans="1:35" s="180" customFormat="1" ht="32.25" thickBot="1">
      <c r="A13" s="63" t="s">
        <v>2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208">
        <f>SUM(M9:M12)</f>
        <v>6500</v>
      </c>
      <c r="N13" s="170"/>
      <c r="O13" s="209">
        <f>SUM(O9:O12)</f>
        <v>4511808615</v>
      </c>
      <c r="P13" s="170"/>
      <c r="Q13" s="209">
        <f>SUM(Q9:Q12)</f>
        <v>4501733915</v>
      </c>
      <c r="R13" s="170"/>
      <c r="S13" s="208">
        <f>SUM(S9:S12)</f>
        <v>86000</v>
      </c>
      <c r="T13" s="209">
        <f>SUM(T9:T12)</f>
        <v>53863066899</v>
      </c>
      <c r="U13" s="170"/>
      <c r="V13" s="208">
        <f>SUM(V9:V12)</f>
        <v>1500</v>
      </c>
      <c r="W13" s="209">
        <f>SUM(W9:W12)</f>
        <v>1043254902</v>
      </c>
      <c r="X13" s="170"/>
      <c r="Y13" s="208">
        <f>SUM(Y9:Y12)</f>
        <v>91000</v>
      </c>
      <c r="Z13" s="170"/>
      <c r="AA13" s="170"/>
      <c r="AB13" s="170"/>
      <c r="AC13" s="209">
        <f>SUM(AC9:AC12)</f>
        <v>57333688911</v>
      </c>
      <c r="AD13" s="170"/>
      <c r="AE13" s="209">
        <f>SUM(AE9:AE12)</f>
        <v>57416251424</v>
      </c>
      <c r="AF13" s="170"/>
      <c r="AG13" s="179">
        <f>SUM(AG9:AG12)</f>
        <v>0.28556620277088257</v>
      </c>
    </row>
    <row r="14" spans="1:35" s="181" customFormat="1" ht="32.25" thickTop="1">
      <c r="M14" s="170"/>
      <c r="N14" s="170"/>
      <c r="P14" s="170"/>
      <c r="R14" s="170"/>
      <c r="S14" s="170"/>
      <c r="U14" s="170"/>
      <c r="V14" s="170"/>
      <c r="X14" s="170"/>
      <c r="Y14" s="170"/>
      <c r="Z14" s="170"/>
      <c r="AA14" s="170"/>
      <c r="AB14" s="170"/>
      <c r="AD14" s="170"/>
      <c r="AF14" s="170"/>
    </row>
    <row r="15" spans="1:35" s="4" customFormat="1" ht="30.75">
      <c r="O15" s="69"/>
      <c r="W15" s="69"/>
      <c r="AC15" s="69"/>
      <c r="AE15" s="69"/>
    </row>
    <row r="16" spans="1:35" s="4" customFormat="1" ht="30.75">
      <c r="W16" s="69"/>
      <c r="AG16" s="8"/>
    </row>
    <row r="17" spans="29:33" s="4" customFormat="1" ht="30.75">
      <c r="AC17" s="182"/>
      <c r="AG17" s="8"/>
    </row>
    <row r="18" spans="29:33" s="4" customFormat="1" ht="30.75">
      <c r="AC18" s="8"/>
      <c r="AG18" s="8"/>
    </row>
    <row r="19" spans="29:33" s="4" customFormat="1" ht="30.75">
      <c r="AC19" s="112"/>
      <c r="AG19" s="10"/>
    </row>
    <row r="20" spans="29:33" s="4" customFormat="1" ht="30.75"/>
    <row r="21" spans="29:33" s="4" customFormat="1" ht="30.75"/>
    <row r="22" spans="29:33" s="4" customFormat="1" ht="30.75"/>
    <row r="23" spans="29:33" s="4" customFormat="1" ht="30.75"/>
    <row r="24" spans="29:33" s="4" customFormat="1" ht="30.75"/>
    <row r="25" spans="29:33" s="4" customFormat="1" ht="30.75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3"/>
  <sheetViews>
    <sheetView rightToLeft="1" view="pageBreakPreview" zoomScaleNormal="100" zoomScaleSheetLayoutView="100" workbookViewId="0">
      <selection activeCell="G16" sqref="G16"/>
    </sheetView>
  </sheetViews>
  <sheetFormatPr defaultColWidth="9.140625" defaultRowHeight="15"/>
  <cols>
    <col min="1" max="1" width="39.140625" style="71" bestFit="1" customWidth="1"/>
    <col min="2" max="2" width="0.7109375" style="71" customWidth="1"/>
    <col min="3" max="3" width="24.28515625" style="71" customWidth="1"/>
    <col min="4" max="4" width="0.7109375" style="71" customWidth="1"/>
    <col min="5" max="5" width="9.5703125" style="71" bestFit="1" customWidth="1"/>
    <col min="6" max="6" width="0.7109375" style="71" customWidth="1"/>
    <col min="7" max="7" width="15.85546875" style="71" bestFit="1" customWidth="1"/>
    <col min="8" max="8" width="0.7109375" style="71" customWidth="1"/>
    <col min="9" max="9" width="9.28515625" style="71" customWidth="1"/>
    <col min="10" max="10" width="0.5703125" style="71" customWidth="1"/>
    <col min="11" max="11" width="21.28515625" style="16" customWidth="1"/>
    <col min="12" max="12" width="0.7109375" style="71" customWidth="1"/>
    <col min="13" max="13" width="22.28515625" style="71" customWidth="1"/>
    <col min="14" max="14" width="0.42578125" style="71" customWidth="1"/>
    <col min="15" max="15" width="22.140625" style="71" customWidth="1"/>
    <col min="16" max="16" width="0.42578125" style="71" customWidth="1"/>
    <col min="17" max="17" width="18.42578125" style="71" customWidth="1"/>
    <col min="18" max="18" width="0.5703125" style="71" customWidth="1"/>
    <col min="19" max="19" width="12.140625" style="71" customWidth="1"/>
    <col min="20" max="16384" width="9.140625" style="71"/>
  </cols>
  <sheetData>
    <row r="1" spans="1:27" ht="18.75">
      <c r="A1" s="254" t="s">
        <v>94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27" ht="18.75">
      <c r="A2" s="254" t="s">
        <v>51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</row>
    <row r="3" spans="1:27" ht="18.75">
      <c r="A3" s="254" t="str">
        <f>' سهام'!A3:W3</f>
        <v>برای ماه منتهی به 1402/09/30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</row>
    <row r="4" spans="1:27" ht="18.75">
      <c r="A4" s="257" t="s">
        <v>52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</row>
    <row r="5" spans="1:27" ht="18.75" thickBot="1">
      <c r="A5" s="72"/>
      <c r="B5" s="72"/>
      <c r="C5" s="73"/>
      <c r="D5" s="73"/>
      <c r="E5" s="73"/>
      <c r="F5" s="73"/>
      <c r="G5" s="73"/>
      <c r="H5" s="73"/>
      <c r="I5" s="73"/>
      <c r="J5" s="73"/>
      <c r="K5" s="11"/>
      <c r="L5" s="73"/>
      <c r="M5" s="73"/>
      <c r="N5" s="73"/>
      <c r="O5" s="73"/>
      <c r="P5" s="73"/>
      <c r="Q5" s="73"/>
      <c r="R5" s="73"/>
      <c r="S5" s="73"/>
    </row>
    <row r="6" spans="1:27" ht="18.75" customHeight="1" thickBot="1">
      <c r="A6" s="74"/>
      <c r="B6" s="72"/>
      <c r="C6" s="252" t="s">
        <v>11</v>
      </c>
      <c r="D6" s="252"/>
      <c r="E6" s="252"/>
      <c r="F6" s="252"/>
      <c r="G6" s="252"/>
      <c r="H6" s="252"/>
      <c r="I6" s="252"/>
      <c r="J6" s="75"/>
      <c r="K6" s="12" t="str">
        <f>اوراق!M6</f>
        <v>1402/08/30</v>
      </c>
      <c r="L6" s="201"/>
      <c r="M6" s="253" t="s">
        <v>7</v>
      </c>
      <c r="N6" s="253"/>
      <c r="O6" s="253"/>
      <c r="P6" s="72"/>
      <c r="Q6" s="252" t="str">
        <f>اوراق!Y6</f>
        <v>1402/09/30</v>
      </c>
      <c r="R6" s="258"/>
      <c r="S6" s="258"/>
    </row>
    <row r="7" spans="1:27" ht="24" customHeight="1">
      <c r="A7" s="261" t="s">
        <v>8</v>
      </c>
      <c r="B7" s="76"/>
      <c r="C7" s="265" t="s">
        <v>9</v>
      </c>
      <c r="D7" s="76"/>
      <c r="E7" s="265" t="s">
        <v>10</v>
      </c>
      <c r="F7" s="76"/>
      <c r="G7" s="265" t="s">
        <v>34</v>
      </c>
      <c r="H7" s="76"/>
      <c r="I7" s="265" t="s">
        <v>89</v>
      </c>
      <c r="J7" s="261"/>
      <c r="K7" s="263" t="s">
        <v>6</v>
      </c>
      <c r="L7" s="76"/>
      <c r="M7" s="250" t="s">
        <v>36</v>
      </c>
      <c r="N7" s="77"/>
      <c r="O7" s="250" t="s">
        <v>37</v>
      </c>
      <c r="P7" s="72"/>
      <c r="Q7" s="259" t="s">
        <v>6</v>
      </c>
      <c r="R7" s="261"/>
      <c r="S7" s="255" t="s">
        <v>22</v>
      </c>
    </row>
    <row r="8" spans="1:27" ht="18.75" thickBot="1">
      <c r="A8" s="262"/>
      <c r="B8" s="76"/>
      <c r="C8" s="256"/>
      <c r="D8" s="78"/>
      <c r="E8" s="256"/>
      <c r="F8" s="78"/>
      <c r="G8" s="256"/>
      <c r="H8" s="78"/>
      <c r="I8" s="256"/>
      <c r="J8" s="261"/>
      <c r="K8" s="264"/>
      <c r="L8" s="76"/>
      <c r="M8" s="251"/>
      <c r="N8" s="72"/>
      <c r="O8" s="251"/>
      <c r="P8" s="72"/>
      <c r="Q8" s="260"/>
      <c r="R8" s="261"/>
      <c r="S8" s="256"/>
    </row>
    <row r="9" spans="1:27" s="72" customFormat="1" ht="18">
      <c r="A9" s="79" t="s">
        <v>104</v>
      </c>
      <c r="C9" s="80" t="s">
        <v>105</v>
      </c>
      <c r="E9" s="81" t="s">
        <v>92</v>
      </c>
      <c r="G9" s="80" t="s">
        <v>93</v>
      </c>
      <c r="I9" s="210">
        <v>5</v>
      </c>
      <c r="J9" s="13"/>
      <c r="K9" s="13">
        <v>1842522</v>
      </c>
      <c r="L9" s="13"/>
      <c r="M9" s="13">
        <v>7540</v>
      </c>
      <c r="N9" s="13"/>
      <c r="O9" s="13">
        <v>0</v>
      </c>
      <c r="P9" s="13"/>
      <c r="Q9" s="13">
        <v>1850062</v>
      </c>
      <c r="S9" s="14">
        <f>Q9/درآمدها!$J$5</f>
        <v>9.2014920362750937E-6</v>
      </c>
      <c r="T9" s="69"/>
      <c r="U9" s="82"/>
      <c r="V9" s="69"/>
      <c r="W9" s="82"/>
      <c r="X9" s="69"/>
      <c r="Y9" s="82"/>
      <c r="Z9" s="69"/>
      <c r="AA9" s="82"/>
    </row>
    <row r="10" spans="1:27" s="72" customFormat="1" ht="18.75" thickBot="1">
      <c r="A10" s="79" t="s">
        <v>103</v>
      </c>
      <c r="C10" s="80" t="s">
        <v>117</v>
      </c>
      <c r="E10" s="81" t="s">
        <v>92</v>
      </c>
      <c r="G10" s="80" t="s">
        <v>93</v>
      </c>
      <c r="I10" s="210">
        <v>5</v>
      </c>
      <c r="J10" s="13"/>
      <c r="K10" s="13">
        <v>49734517</v>
      </c>
      <c r="L10" s="13"/>
      <c r="M10" s="13">
        <v>23597988385</v>
      </c>
      <c r="N10" s="13"/>
      <c r="O10" s="13">
        <v>22509700123</v>
      </c>
      <c r="P10" s="13"/>
      <c r="Q10" s="13">
        <v>1138022779</v>
      </c>
      <c r="S10" s="14">
        <f>Q10/درآمدها!$J$5</f>
        <v>5.660084655578111E-3</v>
      </c>
      <c r="T10" s="69"/>
      <c r="U10" s="82"/>
      <c r="V10" s="69"/>
      <c r="W10" s="82"/>
      <c r="X10" s="69"/>
      <c r="Y10" s="82"/>
      <c r="AA10" s="82"/>
    </row>
    <row r="11" spans="1:27" s="72" customFormat="1" ht="24" customHeight="1" thickBot="1">
      <c r="A11" s="76" t="s">
        <v>2</v>
      </c>
      <c r="B11" s="76"/>
      <c r="C11" s="76"/>
      <c r="D11" s="76"/>
      <c r="E11" s="76"/>
      <c r="F11" s="76"/>
      <c r="G11" s="76"/>
      <c r="H11" s="76"/>
      <c r="I11" s="76"/>
      <c r="J11" s="197"/>
      <c r="K11" s="211">
        <f>SUM(K9:K10)</f>
        <v>51577039</v>
      </c>
      <c r="M11" s="212">
        <f>SUM(M9:M10)</f>
        <v>23597995925</v>
      </c>
      <c r="O11" s="212">
        <f>SUM(O9:O10)</f>
        <v>22509700123</v>
      </c>
      <c r="Q11" s="212">
        <f>SUM(Q9:Q10)</f>
        <v>1139872841</v>
      </c>
      <c r="S11" s="15">
        <f>SUM(S9:S10)</f>
        <v>5.6692861476143859E-3</v>
      </c>
    </row>
    <row r="12" spans="1:27" ht="18.75" thickTop="1">
      <c r="L12" s="72"/>
      <c r="N12" s="72"/>
      <c r="P12" s="72"/>
      <c r="R12" s="72"/>
    </row>
    <row r="13" spans="1:27" ht="18">
      <c r="L13" s="72"/>
      <c r="N13" s="72"/>
      <c r="P13" s="72"/>
      <c r="R13" s="72"/>
    </row>
    <row r="14" spans="1:27" ht="21.75">
      <c r="K14" s="69"/>
      <c r="L14" s="17"/>
      <c r="M14" s="69"/>
      <c r="N14" s="83"/>
      <c r="O14" s="69"/>
      <c r="P14" s="17"/>
      <c r="Q14" s="69"/>
    </row>
    <row r="15" spans="1:27" ht="21.75">
      <c r="K15" s="17"/>
      <c r="L15" s="17"/>
      <c r="M15" s="17"/>
      <c r="N15" s="17"/>
      <c r="O15" s="17"/>
      <c r="P15" s="17"/>
      <c r="Q15" s="17"/>
    </row>
    <row r="16" spans="1:27" ht="21.75">
      <c r="K16" s="17"/>
      <c r="M16" s="17"/>
      <c r="O16" s="17"/>
      <c r="Q16" s="17"/>
    </row>
    <row r="17" spans="11:20" ht="21.75">
      <c r="K17" s="17"/>
      <c r="L17" s="17"/>
      <c r="M17" s="17"/>
      <c r="N17" s="17"/>
      <c r="O17" s="17"/>
      <c r="P17" s="17"/>
      <c r="Q17" s="17"/>
    </row>
    <row r="18" spans="11:20" ht="21.75">
      <c r="K18" s="17"/>
      <c r="M18" s="17"/>
      <c r="O18" s="17"/>
      <c r="Q18" s="17"/>
    </row>
    <row r="19" spans="11:20">
      <c r="Q19" s="84"/>
      <c r="T19" s="183"/>
    </row>
    <row r="20" spans="11:20">
      <c r="T20" s="183"/>
    </row>
    <row r="23" spans="11:20">
      <c r="T23" s="183"/>
    </row>
  </sheetData>
  <autoFilter ref="A8:S8" xr:uid="{00000000-0009-0000-0000-000003000000}">
    <sortState xmlns:xlrd2="http://schemas.microsoft.com/office/spreadsheetml/2017/richdata2" ref="A10:S11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ageMargins left="0.25" right="0.25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J4" sqref="J4"/>
    </sheetView>
  </sheetViews>
  <sheetFormatPr defaultColWidth="9.140625" defaultRowHeight="18"/>
  <cols>
    <col min="1" max="1" width="65.7109375" style="109" customWidth="1"/>
    <col min="2" max="2" width="1" style="109" customWidth="1"/>
    <col min="3" max="3" width="9.140625" style="86"/>
    <col min="4" max="4" width="1.140625" style="86" customWidth="1"/>
    <col min="5" max="5" width="25.28515625" style="19" bestFit="1" customWidth="1"/>
    <col min="6" max="6" width="1" style="86" customWidth="1"/>
    <col min="7" max="7" width="19.7109375" style="86" customWidth="1"/>
    <col min="8" max="8" width="0.42578125" style="86" customWidth="1"/>
    <col min="9" max="9" width="24.5703125" style="86" customWidth="1"/>
    <col min="10" max="10" width="21.28515625" style="110" bestFit="1" customWidth="1"/>
    <col min="11" max="11" width="17.7109375" style="110" bestFit="1" customWidth="1"/>
    <col min="12" max="12" width="14.28515625" style="86" bestFit="1" customWidth="1"/>
    <col min="13" max="13" width="12.5703125" style="86" bestFit="1" customWidth="1"/>
    <col min="14" max="14" width="9.5703125" style="86" bestFit="1" customWidth="1"/>
    <col min="15" max="16384" width="9.140625" style="86"/>
  </cols>
  <sheetData>
    <row r="1" spans="1:14" ht="21">
      <c r="A1" s="254" t="s">
        <v>94</v>
      </c>
      <c r="B1" s="254"/>
      <c r="C1" s="254"/>
      <c r="D1" s="254"/>
      <c r="E1" s="254"/>
      <c r="F1" s="254"/>
      <c r="G1" s="254"/>
      <c r="H1" s="254"/>
      <c r="I1" s="254"/>
      <c r="J1" s="85"/>
      <c r="K1" s="85"/>
    </row>
    <row r="2" spans="1:14" ht="21">
      <c r="A2" s="254" t="s">
        <v>51</v>
      </c>
      <c r="B2" s="254"/>
      <c r="C2" s="254"/>
      <c r="D2" s="254"/>
      <c r="E2" s="254"/>
      <c r="F2" s="254"/>
      <c r="G2" s="254"/>
      <c r="H2" s="254"/>
      <c r="I2" s="254"/>
      <c r="J2" s="87"/>
      <c r="K2" s="85"/>
    </row>
    <row r="3" spans="1:14" ht="21.75" thickBot="1">
      <c r="A3" s="254" t="str">
        <f>سپرده!A3</f>
        <v>برای ماه منتهی به 1402/09/30</v>
      </c>
      <c r="B3" s="254"/>
      <c r="C3" s="254"/>
      <c r="D3" s="254"/>
      <c r="E3" s="254"/>
      <c r="F3" s="254"/>
      <c r="G3" s="254"/>
      <c r="H3" s="254"/>
      <c r="I3" s="254"/>
      <c r="J3" s="85"/>
      <c r="K3" s="85"/>
    </row>
    <row r="4" spans="1:14" ht="21.75" thickBot="1">
      <c r="A4" s="88" t="s">
        <v>27</v>
      </c>
      <c r="B4" s="89"/>
      <c r="C4" s="89"/>
      <c r="D4" s="89"/>
      <c r="E4" s="89"/>
      <c r="F4" s="89"/>
      <c r="G4" s="89"/>
      <c r="H4" s="89"/>
      <c r="I4" s="89"/>
      <c r="J4" s="18">
        <v>30324937802</v>
      </c>
      <c r="K4" s="90" t="s">
        <v>91</v>
      </c>
    </row>
    <row r="5" spans="1:14" ht="21.75" customHeight="1" thickBot="1">
      <c r="A5" s="88"/>
      <c r="B5" s="88"/>
      <c r="C5" s="88"/>
      <c r="D5" s="88"/>
      <c r="E5" s="252" t="str">
        <f>اوراق!Y6</f>
        <v>1402/09/30</v>
      </c>
      <c r="F5" s="252"/>
      <c r="G5" s="252"/>
      <c r="H5" s="252"/>
      <c r="I5" s="252"/>
      <c r="J5" s="18">
        <v>201061087996</v>
      </c>
      <c r="K5" s="90" t="s">
        <v>90</v>
      </c>
    </row>
    <row r="6" spans="1:14" ht="21.75" customHeight="1" thickBot="1">
      <c r="A6" s="91" t="s">
        <v>38</v>
      </c>
      <c r="B6" s="92"/>
      <c r="C6" s="93" t="s">
        <v>39</v>
      </c>
      <c r="D6" s="77"/>
      <c r="E6" s="94" t="s">
        <v>6</v>
      </c>
      <c r="F6" s="77"/>
      <c r="G6" s="93" t="s">
        <v>19</v>
      </c>
      <c r="H6" s="77"/>
      <c r="I6" s="93" t="s">
        <v>88</v>
      </c>
      <c r="J6" s="95"/>
      <c r="K6" s="95"/>
    </row>
    <row r="7" spans="1:14" ht="21" customHeight="1">
      <c r="A7" s="96" t="s">
        <v>106</v>
      </c>
      <c r="B7" s="96"/>
      <c r="C7" s="97" t="s">
        <v>53</v>
      </c>
      <c r="D7" s="89"/>
      <c r="E7" s="98">
        <f>'درآمد سرمایه گذاری در سهام '!S31</f>
        <v>29710960579</v>
      </c>
      <c r="F7" s="89"/>
      <c r="G7" s="99">
        <f>E7/$E$11*100</f>
        <v>99.921587564331517</v>
      </c>
      <c r="H7" s="100"/>
      <c r="I7" s="101">
        <f>E7/$J$5*100</f>
        <v>14.777081371205494</v>
      </c>
      <c r="J7" s="95"/>
      <c r="K7" s="95"/>
    </row>
    <row r="8" spans="1:14" ht="18.75" customHeight="1">
      <c r="A8" s="96" t="s">
        <v>48</v>
      </c>
      <c r="B8" s="96"/>
      <c r="C8" s="97" t="s">
        <v>54</v>
      </c>
      <c r="D8" s="89"/>
      <c r="E8" s="168">
        <v>0</v>
      </c>
      <c r="F8" s="89"/>
      <c r="G8" s="99">
        <f t="shared" ref="G8:G10" si="0">E8/$E$11*100</f>
        <v>0</v>
      </c>
      <c r="H8" s="100"/>
      <c r="I8" s="101">
        <f t="shared" ref="I8:I10" si="1">E8/$J$5*100</f>
        <v>0</v>
      </c>
      <c r="J8" s="95"/>
      <c r="K8" s="95"/>
      <c r="L8" s="95"/>
      <c r="M8" s="102"/>
      <c r="N8" s="103"/>
    </row>
    <row r="9" spans="1:14" ht="18.75" customHeight="1">
      <c r="A9" s="96" t="s">
        <v>49</v>
      </c>
      <c r="B9" s="96"/>
      <c r="C9" s="97" t="s">
        <v>55</v>
      </c>
      <c r="D9" s="89"/>
      <c r="E9" s="96">
        <f>'درآمد سپرده بانکی'!I10</f>
        <v>199554</v>
      </c>
      <c r="F9" s="89"/>
      <c r="G9" s="99">
        <f t="shared" si="0"/>
        <v>6.7112446370738428E-4</v>
      </c>
      <c r="H9" s="100"/>
      <c r="I9" s="101">
        <f t="shared" si="1"/>
        <v>9.9250432785865563E-5</v>
      </c>
      <c r="J9" s="95"/>
      <c r="K9" s="95"/>
      <c r="M9" s="102"/>
      <c r="N9" s="103"/>
    </row>
    <row r="10" spans="1:14" ht="19.5" customHeight="1" thickBot="1">
      <c r="A10" s="96" t="s">
        <v>32</v>
      </c>
      <c r="B10" s="96"/>
      <c r="C10" s="97" t="s">
        <v>56</v>
      </c>
      <c r="D10" s="89"/>
      <c r="E10" s="104">
        <f>'سایر درآمدها'!E11</f>
        <v>23115816</v>
      </c>
      <c r="F10" s="89"/>
      <c r="G10" s="99">
        <f t="shared" si="0"/>
        <v>7.774131120477952E-2</v>
      </c>
      <c r="H10" s="100"/>
      <c r="I10" s="101">
        <f t="shared" si="1"/>
        <v>1.1496911824360502E-2</v>
      </c>
      <c r="J10" s="95"/>
      <c r="K10" s="95"/>
      <c r="M10" s="102"/>
      <c r="N10" s="103"/>
    </row>
    <row r="11" spans="1:14" ht="19.5" customHeight="1" thickBot="1">
      <c r="A11" s="96" t="s">
        <v>2</v>
      </c>
      <c r="B11" s="105"/>
      <c r="C11" s="72"/>
      <c r="D11" s="72"/>
      <c r="E11" s="106">
        <f>SUM(E7:E10)</f>
        <v>29734275949</v>
      </c>
      <c r="F11" s="72"/>
      <c r="G11" s="107">
        <f>SUM(G7:G10)</f>
        <v>100</v>
      </c>
      <c r="H11" s="100"/>
      <c r="I11" s="108">
        <f>SUM(I7:I10)</f>
        <v>14.788677533462641</v>
      </c>
      <c r="J11" s="95"/>
      <c r="K11" s="95"/>
    </row>
    <row r="12" spans="1:14" ht="18.75" customHeight="1" thickTop="1">
      <c r="J12" s="95"/>
      <c r="K12" s="95"/>
    </row>
    <row r="13" spans="1:14" ht="18" customHeight="1">
      <c r="E13" s="20"/>
      <c r="F13" s="20"/>
      <c r="G13" s="20"/>
      <c r="J13" s="95"/>
      <c r="K13" s="95"/>
    </row>
    <row r="14" spans="1:14" ht="18" customHeight="1">
      <c r="E14" s="20"/>
      <c r="F14" s="20"/>
      <c r="G14" s="20"/>
      <c r="J14" s="95"/>
      <c r="K14" s="95"/>
    </row>
    <row r="15" spans="1:14" ht="18" customHeight="1">
      <c r="E15" s="20"/>
      <c r="F15" s="20"/>
      <c r="G15" s="20"/>
      <c r="J15" s="95"/>
      <c r="K15" s="95"/>
    </row>
    <row r="16" spans="1:14" ht="18" customHeight="1">
      <c r="E16" s="20"/>
      <c r="F16" s="20"/>
      <c r="G16" s="20"/>
      <c r="J16" s="95"/>
      <c r="K16" s="95"/>
    </row>
    <row r="17" spans="1:11" ht="17.45" customHeight="1">
      <c r="E17" s="20"/>
      <c r="F17" s="20"/>
      <c r="G17" s="20"/>
      <c r="J17" s="95"/>
      <c r="K17" s="95"/>
    </row>
    <row r="18" spans="1:11" ht="17.45" customHeight="1">
      <c r="E18" s="20"/>
      <c r="F18" s="20"/>
      <c r="G18" s="20"/>
    </row>
    <row r="19" spans="1:11" ht="17.45" customHeight="1"/>
    <row r="21" spans="1:11">
      <c r="A21" s="109" t="s">
        <v>60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6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U20"/>
  <sheetViews>
    <sheetView rightToLeft="1" view="pageBreakPreview" zoomScale="70" zoomScaleNormal="100" zoomScaleSheetLayoutView="70" workbookViewId="0">
      <selection activeCell="F16" sqref="F16"/>
    </sheetView>
  </sheetViews>
  <sheetFormatPr defaultColWidth="9.140625" defaultRowHeight="18"/>
  <cols>
    <col min="1" max="1" width="50.85546875" style="72" customWidth="1"/>
    <col min="2" max="2" width="15.5703125" style="72" bestFit="1" customWidth="1"/>
    <col min="3" max="3" width="0.85546875" style="72" customWidth="1"/>
    <col min="4" max="4" width="14" style="72" bestFit="1" customWidth="1"/>
    <col min="5" max="5" width="1.28515625" style="72" customWidth="1"/>
    <col min="6" max="6" width="12.42578125" style="72" customWidth="1"/>
    <col min="7" max="7" width="1" style="72" customWidth="1"/>
    <col min="8" max="8" width="25" style="24" bestFit="1" customWidth="1"/>
    <col min="9" max="9" width="0.85546875" style="24" customWidth="1"/>
    <col min="10" max="10" width="25" style="24" bestFit="1" customWidth="1"/>
    <col min="11" max="11" width="0.7109375" style="24" customWidth="1"/>
    <col min="12" max="12" width="23.140625" style="24" bestFit="1" customWidth="1"/>
    <col min="13" max="13" width="0.7109375" style="24" customWidth="1"/>
    <col min="14" max="14" width="23.140625" style="24" bestFit="1" customWidth="1"/>
    <col min="15" max="15" width="0.5703125" style="24" customWidth="1"/>
    <col min="16" max="16" width="17" style="24" bestFit="1" customWidth="1"/>
    <col min="17" max="17" width="0.5703125" style="24" customWidth="1"/>
    <col min="18" max="18" width="23.140625" style="24" bestFit="1" customWidth="1"/>
    <col min="19" max="19" width="9.140625" style="72"/>
    <col min="20" max="20" width="14.28515625" style="72" bestFit="1" customWidth="1"/>
    <col min="21" max="16384" width="9.140625" style="72"/>
  </cols>
  <sheetData>
    <row r="1" spans="1:21" ht="24.75">
      <c r="A1" s="239" t="s">
        <v>94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</row>
    <row r="2" spans="1:21" ht="24.75">
      <c r="A2" s="239" t="s">
        <v>57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</row>
    <row r="3" spans="1:21" ht="24.75">
      <c r="A3" s="239" t="str">
        <f>' سهام'!A3:W3</f>
        <v>برای ماه منتهی به 1402/09/30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1" ht="24.75">
      <c r="A4" s="240" t="s">
        <v>66</v>
      </c>
      <c r="B4" s="240"/>
      <c r="C4" s="240"/>
      <c r="D4" s="240"/>
      <c r="E4" s="240"/>
      <c r="F4" s="240"/>
      <c r="G4" s="240"/>
      <c r="H4" s="240"/>
      <c r="I4" s="21"/>
      <c r="J4" s="22"/>
      <c r="K4" s="22"/>
      <c r="L4" s="22"/>
      <c r="M4" s="22"/>
      <c r="N4" s="22"/>
      <c r="O4" s="22"/>
      <c r="P4" s="22"/>
      <c r="Q4" s="22"/>
      <c r="R4" s="22"/>
    </row>
    <row r="5" spans="1:21" ht="24.75" customHeight="1" thickBot="1">
      <c r="A5" s="113"/>
      <c r="B5" s="266"/>
      <c r="C5" s="266"/>
      <c r="D5" s="266"/>
      <c r="E5" s="266"/>
      <c r="F5" s="266"/>
      <c r="G5" s="114"/>
      <c r="H5" s="267" t="s">
        <v>141</v>
      </c>
      <c r="I5" s="267"/>
      <c r="J5" s="267"/>
      <c r="K5" s="267"/>
      <c r="L5" s="267"/>
      <c r="M5" s="22"/>
      <c r="N5" s="267" t="s">
        <v>142</v>
      </c>
      <c r="O5" s="267"/>
      <c r="P5" s="267"/>
      <c r="Q5" s="267"/>
      <c r="R5" s="267"/>
    </row>
    <row r="6" spans="1:21" ht="46.5" customHeight="1" thickBot="1">
      <c r="A6" s="115" t="s">
        <v>38</v>
      </c>
      <c r="B6" s="116" t="s">
        <v>41</v>
      </c>
      <c r="C6" s="199"/>
      <c r="D6" s="116" t="s">
        <v>23</v>
      </c>
      <c r="E6" s="199"/>
      <c r="F6" s="116" t="s">
        <v>35</v>
      </c>
      <c r="G6" s="199"/>
      <c r="H6" s="23" t="s">
        <v>58</v>
      </c>
      <c r="I6" s="198"/>
      <c r="J6" s="23" t="s">
        <v>40</v>
      </c>
      <c r="K6" s="198"/>
      <c r="L6" s="23" t="s">
        <v>42</v>
      </c>
      <c r="M6" s="22"/>
      <c r="N6" s="23" t="s">
        <v>58</v>
      </c>
      <c r="O6" s="198"/>
      <c r="P6" s="23" t="s">
        <v>40</v>
      </c>
      <c r="Q6" s="198"/>
      <c r="R6" s="23" t="s">
        <v>42</v>
      </c>
    </row>
    <row r="7" spans="1:21" s="83" customFormat="1" ht="46.5" customHeight="1">
      <c r="A7" s="188" t="s">
        <v>103</v>
      </c>
      <c r="B7" s="35" t="s">
        <v>126</v>
      </c>
      <c r="C7" s="199"/>
      <c r="D7" s="189" t="s">
        <v>93</v>
      </c>
      <c r="E7" s="114"/>
      <c r="F7" s="35">
        <v>5</v>
      </c>
      <c r="G7" s="114"/>
      <c r="H7" s="35">
        <v>22562</v>
      </c>
      <c r="I7" s="35"/>
      <c r="J7" s="35">
        <v>0</v>
      </c>
      <c r="K7" s="35"/>
      <c r="L7" s="35">
        <f>H7+J7</f>
        <v>22562</v>
      </c>
      <c r="M7" s="35"/>
      <c r="N7" s="35">
        <v>184474</v>
      </c>
      <c r="O7" s="35"/>
      <c r="P7" s="35">
        <v>0</v>
      </c>
      <c r="Q7" s="35"/>
      <c r="R7" s="35">
        <f>N7+P7</f>
        <v>184474</v>
      </c>
      <c r="S7" s="69"/>
      <c r="T7" s="117"/>
      <c r="U7" s="117"/>
    </row>
    <row r="8" spans="1:21" s="83" customFormat="1" ht="46.5" customHeight="1">
      <c r="A8" s="188" t="s">
        <v>104</v>
      </c>
      <c r="B8" s="35" t="s">
        <v>139</v>
      </c>
      <c r="C8" s="199"/>
      <c r="D8" s="189" t="s">
        <v>93</v>
      </c>
      <c r="E8" s="114"/>
      <c r="F8" s="35">
        <v>5</v>
      </c>
      <c r="G8" s="114"/>
      <c r="H8" s="35">
        <v>7540</v>
      </c>
      <c r="I8" s="35"/>
      <c r="J8" s="35">
        <v>0</v>
      </c>
      <c r="K8" s="35"/>
      <c r="L8" s="35">
        <f t="shared" ref="L8" si="0">H8+J8</f>
        <v>7540</v>
      </c>
      <c r="M8" s="35"/>
      <c r="N8" s="35">
        <v>15080</v>
      </c>
      <c r="O8" s="35"/>
      <c r="P8" s="35">
        <v>0</v>
      </c>
      <c r="Q8" s="35"/>
      <c r="R8" s="35">
        <f t="shared" ref="R8" si="1">N8+P8</f>
        <v>15080</v>
      </c>
      <c r="S8" s="69"/>
      <c r="T8" s="117"/>
      <c r="U8" s="117"/>
    </row>
    <row r="9" spans="1:21" ht="47.45" customHeight="1" thickBot="1">
      <c r="A9" s="188"/>
      <c r="B9" s="114"/>
      <c r="C9" s="114"/>
      <c r="D9" s="114"/>
      <c r="E9" s="114"/>
      <c r="F9" s="114"/>
      <c r="G9" s="114"/>
      <c r="H9" s="213">
        <f>SUM(H7:H8)</f>
        <v>30102</v>
      </c>
      <c r="I9" s="137"/>
      <c r="J9" s="213">
        <f>SUM(J7:J8)</f>
        <v>0</v>
      </c>
      <c r="K9" s="137"/>
      <c r="L9" s="213">
        <f>SUM(L7:L8)</f>
        <v>30102</v>
      </c>
      <c r="M9" s="137"/>
      <c r="N9" s="213">
        <f>SUM(N7:N8)</f>
        <v>199554</v>
      </c>
      <c r="O9" s="137"/>
      <c r="P9" s="213">
        <f>SUM(P7:P8)</f>
        <v>0</v>
      </c>
      <c r="Q9" s="214" t="e">
        <f>SUM(#REF!)</f>
        <v>#REF!</v>
      </c>
      <c r="R9" s="213">
        <f>SUM(R7:R8)</f>
        <v>199554</v>
      </c>
    </row>
    <row r="10" spans="1:21" ht="22.5" thickTop="1">
      <c r="I10" s="83"/>
      <c r="K10" s="83"/>
      <c r="M10" s="83"/>
      <c r="O10" s="83"/>
    </row>
    <row r="11" spans="1:21" ht="21.75">
      <c r="I11" s="83"/>
      <c r="K11" s="83"/>
      <c r="M11" s="83"/>
      <c r="O11" s="83"/>
    </row>
    <row r="12" spans="1:21" ht="21.75">
      <c r="H12" s="69"/>
      <c r="I12" s="83"/>
      <c r="K12" s="83"/>
      <c r="M12" s="83"/>
    </row>
    <row r="13" spans="1:21" s="86" customFormat="1" ht="21.75">
      <c r="H13" s="111"/>
      <c r="J13" s="112"/>
      <c r="L13" s="25"/>
      <c r="N13" s="26"/>
      <c r="P13" s="111"/>
      <c r="R13" s="13"/>
    </row>
    <row r="14" spans="1:21" s="86" customFormat="1" ht="21.75">
      <c r="H14" s="27"/>
      <c r="I14" s="102"/>
      <c r="J14" s="102"/>
      <c r="L14" s="25"/>
      <c r="N14" s="27"/>
      <c r="P14" s="102"/>
      <c r="R14" s="13"/>
    </row>
    <row r="15" spans="1:21" ht="21.75">
      <c r="H15" s="17"/>
      <c r="I15" s="83"/>
      <c r="K15" s="83"/>
      <c r="L15" s="13"/>
      <c r="N15" s="17"/>
      <c r="R15" s="13"/>
    </row>
    <row r="16" spans="1:21" ht="21.75">
      <c r="H16" s="28"/>
      <c r="K16" s="83"/>
      <c r="L16" s="13"/>
      <c r="N16" s="28"/>
      <c r="R16" s="13"/>
    </row>
    <row r="17" spans="12:18">
      <c r="L17" s="13"/>
      <c r="R17" s="13"/>
    </row>
    <row r="18" spans="12:18">
      <c r="L18" s="13"/>
      <c r="R18" s="13"/>
    </row>
    <row r="19" spans="12:18">
      <c r="L19" s="13"/>
      <c r="R19" s="13"/>
    </row>
    <row r="20" spans="12:18">
      <c r="L20" s="13"/>
      <c r="R20" s="13"/>
    </row>
  </sheetData>
  <autoFilter ref="A6:R6" xr:uid="{00000000-0009-0000-0000-000005000000}">
    <sortState xmlns:xlrd2="http://schemas.microsoft.com/office/spreadsheetml/2017/richdata2" ref="A7:R14">
      <sortCondition descending="1" ref="R6"/>
    </sortState>
  </autoFilter>
  <mergeCells count="7">
    <mergeCell ref="A4:H4"/>
    <mergeCell ref="B5:F5"/>
    <mergeCell ref="N5:R5"/>
    <mergeCell ref="A1:R1"/>
    <mergeCell ref="A2:R2"/>
    <mergeCell ref="A3:R3"/>
    <mergeCell ref="H5:L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W20"/>
  <sheetViews>
    <sheetView rightToLeft="1" view="pageBreakPreview" zoomScale="90" zoomScaleNormal="100" zoomScaleSheetLayoutView="90" workbookViewId="0">
      <selection activeCell="U5" sqref="U5"/>
    </sheetView>
  </sheetViews>
  <sheetFormatPr defaultColWidth="9.140625" defaultRowHeight="17.25"/>
  <cols>
    <col min="1" max="1" width="30.5703125" style="86" bestFit="1" customWidth="1"/>
    <col min="2" max="2" width="0.5703125" style="86" customWidth="1"/>
    <col min="3" max="3" width="15" style="86" customWidth="1"/>
    <col min="4" max="4" width="0.85546875" style="86" customWidth="1"/>
    <col min="5" max="5" width="15.28515625" style="86" bestFit="1" customWidth="1"/>
    <col min="6" max="6" width="1.140625" style="86" customWidth="1"/>
    <col min="7" max="7" width="9.42578125" style="86" bestFit="1" customWidth="1"/>
    <col min="8" max="8" width="0.5703125" style="86" customWidth="1"/>
    <col min="9" max="9" width="19.42578125" style="86" customWidth="1"/>
    <col min="10" max="10" width="1" style="86" customWidth="1"/>
    <col min="11" max="11" width="15.28515625" style="86" customWidth="1"/>
    <col min="12" max="12" width="1.140625" style="86" customWidth="1"/>
    <col min="13" max="13" width="18.28515625" style="86" customWidth="1"/>
    <col min="14" max="14" width="1" style="86" customWidth="1"/>
    <col min="15" max="15" width="19.42578125" style="86" bestFit="1" customWidth="1"/>
    <col min="16" max="16" width="1.140625" style="86" customWidth="1"/>
    <col min="17" max="17" width="16" style="86" bestFit="1" customWidth="1"/>
    <col min="18" max="18" width="1.140625" style="86" customWidth="1"/>
    <col min="19" max="19" width="21.140625" style="86" bestFit="1" customWidth="1"/>
    <col min="20" max="20" width="2.85546875" style="86" customWidth="1"/>
    <col min="21" max="16384" width="9.140625" style="86"/>
  </cols>
  <sheetData>
    <row r="1" spans="1:23" ht="22.5">
      <c r="A1" s="270" t="s">
        <v>94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</row>
    <row r="2" spans="1:23" ht="22.5">
      <c r="A2" s="270" t="s">
        <v>57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</row>
    <row r="3" spans="1:23" ht="22.5">
      <c r="A3" s="270" t="str">
        <f>' سهام'!A3:W3</f>
        <v>برای ماه منتهی به 1402/09/30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</row>
    <row r="4" spans="1:23" ht="22.5">
      <c r="A4" s="271" t="s">
        <v>77</v>
      </c>
      <c r="B4" s="271"/>
      <c r="C4" s="271"/>
      <c r="D4" s="271"/>
      <c r="E4" s="271"/>
      <c r="F4" s="271"/>
      <c r="G4" s="271"/>
      <c r="H4" s="271"/>
      <c r="I4" s="272"/>
      <c r="J4" s="272"/>
      <c r="K4" s="272"/>
      <c r="L4" s="272"/>
      <c r="M4" s="272"/>
      <c r="N4" s="272"/>
      <c r="O4" s="272"/>
      <c r="P4" s="272"/>
      <c r="Q4" s="271"/>
      <c r="R4" s="271"/>
      <c r="S4" s="271"/>
    </row>
    <row r="6" spans="1:23" ht="18.75">
      <c r="C6" s="268" t="s">
        <v>78</v>
      </c>
      <c r="D6" s="269"/>
      <c r="E6" s="269"/>
      <c r="F6" s="269"/>
      <c r="G6" s="269"/>
      <c r="I6" s="268" t="s">
        <v>79</v>
      </c>
      <c r="J6" s="269"/>
      <c r="K6" s="269"/>
      <c r="L6" s="269"/>
      <c r="M6" s="269"/>
      <c r="O6" s="268" t="str">
        <f>اوراق!Y6</f>
        <v>1402/09/30</v>
      </c>
      <c r="P6" s="269"/>
      <c r="Q6" s="269"/>
      <c r="R6" s="269"/>
      <c r="S6" s="269"/>
    </row>
    <row r="7" spans="1:23" ht="56.25">
      <c r="A7" s="169" t="s">
        <v>80</v>
      </c>
      <c r="C7" s="118" t="s">
        <v>81</v>
      </c>
      <c r="E7" s="118" t="s">
        <v>82</v>
      </c>
      <c r="G7" s="118" t="s">
        <v>83</v>
      </c>
      <c r="I7" s="118" t="s">
        <v>84</v>
      </c>
      <c r="K7" s="118" t="s">
        <v>85</v>
      </c>
      <c r="M7" s="118" t="s">
        <v>86</v>
      </c>
      <c r="O7" s="118" t="s">
        <v>84</v>
      </c>
      <c r="Q7" s="118" t="s">
        <v>85</v>
      </c>
      <c r="S7" s="118" t="s">
        <v>86</v>
      </c>
    </row>
    <row r="8" spans="1:23" ht="21.75">
      <c r="A8" s="119"/>
      <c r="B8" s="120"/>
      <c r="C8" s="29"/>
      <c r="D8" s="29"/>
      <c r="E8" s="13"/>
      <c r="F8" s="13"/>
      <c r="G8" s="13"/>
      <c r="H8" s="13"/>
      <c r="I8" s="13">
        <v>0</v>
      </c>
      <c r="J8" s="13"/>
      <c r="K8" s="13">
        <v>0</v>
      </c>
      <c r="L8" s="13"/>
      <c r="M8" s="13">
        <v>0</v>
      </c>
      <c r="N8" s="13"/>
      <c r="O8" s="13">
        <v>0</v>
      </c>
      <c r="P8" s="13"/>
      <c r="Q8" s="13">
        <v>0</v>
      </c>
      <c r="R8" s="13"/>
      <c r="S8" s="13">
        <f>O8+Q8</f>
        <v>0</v>
      </c>
      <c r="U8" s="121"/>
      <c r="V8" s="121"/>
      <c r="W8" s="121"/>
    </row>
    <row r="9" spans="1:23" ht="18.75" thickBot="1">
      <c r="A9" s="122" t="s">
        <v>87</v>
      </c>
      <c r="E9" s="102"/>
      <c r="F9" s="102"/>
      <c r="G9" s="102"/>
      <c r="H9" s="102"/>
      <c r="I9" s="123">
        <f>SUM(I8:I8)</f>
        <v>0</v>
      </c>
      <c r="J9" s="124" t="e">
        <f>SUM(#REF!)</f>
        <v>#REF!</v>
      </c>
      <c r="K9" s="125">
        <f>SUM(K8:K8)</f>
        <v>0</v>
      </c>
      <c r="L9" s="124" t="e">
        <f>SUM(#REF!)</f>
        <v>#REF!</v>
      </c>
      <c r="M9" s="123">
        <f>SUM(M8:M8)</f>
        <v>0</v>
      </c>
      <c r="N9" s="124" t="e">
        <f>SUM(#REF!)</f>
        <v>#REF!</v>
      </c>
      <c r="O9" s="123">
        <f>SUM(O8:O8)</f>
        <v>0</v>
      </c>
      <c r="P9" s="124"/>
      <c r="Q9" s="123">
        <f>SUM(Q8:Q8)</f>
        <v>0</v>
      </c>
      <c r="R9" s="124" t="e">
        <f>SUM(#REF!)</f>
        <v>#REF!</v>
      </c>
      <c r="S9" s="123">
        <f>SUM(S8:S8)</f>
        <v>0</v>
      </c>
    </row>
    <row r="10" spans="1:23" ht="18.75" thickTop="1">
      <c r="I10" s="126"/>
      <c r="K10" s="126"/>
      <c r="M10" s="126"/>
      <c r="O10" s="126"/>
      <c r="Q10" s="126"/>
      <c r="S10" s="126"/>
    </row>
    <row r="11" spans="1:23" ht="16.5" customHeight="1"/>
    <row r="12" spans="1:23" s="13" customFormat="1" ht="18"/>
    <row r="13" spans="1:23" s="13" customFormat="1" ht="18"/>
    <row r="14" spans="1:23" s="13" customFormat="1" ht="18"/>
    <row r="15" spans="1:23" s="13" customFormat="1" ht="18"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23" s="13" customFormat="1" ht="18"/>
    <row r="17" s="13" customFormat="1" ht="18"/>
    <row r="18" s="13" customFormat="1" ht="18"/>
    <row r="19" s="13" customFormat="1" ht="18"/>
    <row r="20" s="13" customFormat="1" ht="18"/>
  </sheetData>
  <autoFilter ref="A7:S7" xr:uid="{00000000-0009-0000-0000-000006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Y43"/>
  <sheetViews>
    <sheetView rightToLeft="1" view="pageBreakPreview" topLeftCell="B7" zoomScale="90" zoomScaleNormal="100" zoomScaleSheetLayoutView="90" workbookViewId="0">
      <selection activeCell="R15" sqref="R15"/>
    </sheetView>
  </sheetViews>
  <sheetFormatPr defaultColWidth="9.140625" defaultRowHeight="17.25"/>
  <cols>
    <col min="1" max="1" width="29.7109375" style="86" customWidth="1"/>
    <col min="2" max="2" width="1.140625" style="86" customWidth="1"/>
    <col min="3" max="3" width="17.28515625" style="86" bestFit="1" customWidth="1"/>
    <col min="4" max="4" width="0.85546875" style="86" customWidth="1"/>
    <col min="5" max="5" width="24.5703125" style="19" bestFit="1" customWidth="1"/>
    <col min="6" max="6" width="0.5703125" style="19" customWidth="1"/>
    <col min="7" max="7" width="22.5703125" style="19" bestFit="1" customWidth="1"/>
    <col min="8" max="8" width="0.85546875" style="19" customWidth="1"/>
    <col min="9" max="9" width="22" style="36" bestFit="1" customWidth="1"/>
    <col min="10" max="10" width="0.5703125" style="36" customWidth="1"/>
    <col min="11" max="11" width="13.7109375" style="36" customWidth="1"/>
    <col min="12" max="12" width="0.42578125" style="36" customWidth="1"/>
    <col min="13" max="13" width="26.28515625" style="36" bestFit="1" customWidth="1"/>
    <col min="14" max="14" width="0.42578125" style="36" customWidth="1"/>
    <col min="15" max="15" width="24.28515625" style="36" bestFit="1" customWidth="1"/>
    <col min="16" max="16" width="0.5703125" style="36" customWidth="1"/>
    <col min="17" max="17" width="24.28515625" style="36" bestFit="1" customWidth="1"/>
    <col min="18" max="18" width="9.140625" style="86"/>
    <col min="19" max="19" width="13.7109375" style="86" bestFit="1" customWidth="1"/>
    <col min="20" max="20" width="14.140625" style="86" customWidth="1"/>
    <col min="21" max="21" width="12.5703125" style="86" bestFit="1" customWidth="1"/>
    <col min="22" max="22" width="9.140625" style="86"/>
    <col min="23" max="23" width="9.5703125" style="86" bestFit="1" customWidth="1"/>
    <col min="24" max="25" width="12.5703125" style="86" bestFit="1" customWidth="1"/>
    <col min="26" max="16384" width="9.140625" style="86"/>
  </cols>
  <sheetData>
    <row r="1" spans="1:25" ht="22.5">
      <c r="A1" s="270" t="s">
        <v>94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25" ht="22.5">
      <c r="A2" s="270" t="s">
        <v>57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25" ht="22.5">
      <c r="A3" s="270" t="str">
        <f>' سهام'!A3:W3</f>
        <v>برای ماه منتهی به 1402/09/30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</row>
    <row r="4" spans="1:25" ht="22.5">
      <c r="A4" s="271" t="s">
        <v>65</v>
      </c>
      <c r="B4" s="271"/>
      <c r="C4" s="271"/>
      <c r="D4" s="271"/>
      <c r="E4" s="271"/>
      <c r="F4" s="271"/>
      <c r="G4" s="271"/>
      <c r="H4" s="271"/>
      <c r="I4" s="271"/>
      <c r="J4" s="272"/>
      <c r="K4" s="272"/>
      <c r="L4" s="272"/>
      <c r="M4" s="272"/>
      <c r="N4" s="272"/>
      <c r="O4" s="272"/>
      <c r="P4" s="272"/>
      <c r="Q4" s="272"/>
    </row>
    <row r="5" spans="1:25" ht="15.75" customHeight="1">
      <c r="A5" s="83"/>
      <c r="B5" s="83"/>
      <c r="C5" s="276" t="str" cm="1">
        <f t="array" ref="C5:G5">'سود اوراق بهادار و سپرده بانکی'!H5:L5</f>
        <v>طی آذر ماه</v>
      </c>
      <c r="D5" s="276">
        <v>0</v>
      </c>
      <c r="E5" s="276">
        <v>0</v>
      </c>
      <c r="F5" s="276">
        <v>0</v>
      </c>
      <c r="G5" s="276">
        <v>0</v>
      </c>
      <c r="H5" s="276"/>
      <c r="I5" s="276"/>
      <c r="J5" s="2"/>
      <c r="K5" s="276" t="str" cm="1">
        <f t="array" ref="K5:O5">'سود اوراق بهادار و سپرده بانکی'!N5:R5</f>
        <v>از ابتدای سال مالی تا پایان آذر ماه</v>
      </c>
      <c r="L5" s="276">
        <v>0</v>
      </c>
      <c r="M5" s="276">
        <v>0</v>
      </c>
      <c r="N5" s="276">
        <v>0</v>
      </c>
      <c r="O5" s="276">
        <v>0</v>
      </c>
      <c r="P5" s="276"/>
      <c r="Q5" s="276"/>
    </row>
    <row r="6" spans="1:25" ht="22.5" thickBot="1">
      <c r="A6" s="127" t="s">
        <v>38</v>
      </c>
      <c r="B6" s="127"/>
      <c r="C6" s="128" t="s">
        <v>3</v>
      </c>
      <c r="D6" s="127"/>
      <c r="E6" s="50" t="s">
        <v>46</v>
      </c>
      <c r="F6" s="51"/>
      <c r="G6" s="52" t="s">
        <v>43</v>
      </c>
      <c r="H6" s="51"/>
      <c r="I6" s="32" t="s">
        <v>47</v>
      </c>
      <c r="J6" s="2"/>
      <c r="K6" s="30" t="s">
        <v>3</v>
      </c>
      <c r="L6" s="31"/>
      <c r="M6" s="32" t="s">
        <v>21</v>
      </c>
      <c r="N6" s="31"/>
      <c r="O6" s="30" t="s">
        <v>43</v>
      </c>
      <c r="P6" s="31"/>
      <c r="Q6" s="33" t="s">
        <v>47</v>
      </c>
    </row>
    <row r="7" spans="1:25" ht="21.75">
      <c r="A7" s="86" t="s">
        <v>118</v>
      </c>
      <c r="B7" s="127"/>
      <c r="C7" s="61">
        <f>VLOOKUP(A7,اوراق!A9:W12,22,0)</f>
        <v>1500</v>
      </c>
      <c r="D7" s="127"/>
      <c r="E7" s="61">
        <f>VLOOKUP(A7,اوراق!$A$9:$AG$12,23,0)</f>
        <v>1043254902</v>
      </c>
      <c r="F7" s="51"/>
      <c r="G7" s="53">
        <v>1040997505</v>
      </c>
      <c r="H7" s="51"/>
      <c r="I7" s="53">
        <f>E7-G7</f>
        <v>2257397</v>
      </c>
      <c r="J7" s="2"/>
      <c r="K7" s="53">
        <v>1500</v>
      </c>
      <c r="L7" s="31"/>
      <c r="M7" s="53">
        <v>1043254902</v>
      </c>
      <c r="N7" s="31"/>
      <c r="O7" s="53">
        <v>1040997505</v>
      </c>
      <c r="P7" s="31"/>
      <c r="Q7" s="53">
        <f>M7-O7</f>
        <v>2257397</v>
      </c>
      <c r="R7" s="102"/>
      <c r="S7" s="215"/>
      <c r="T7" s="102"/>
      <c r="U7" s="102"/>
      <c r="W7" s="215"/>
      <c r="X7" s="102"/>
      <c r="Y7" s="102"/>
    </row>
    <row r="8" spans="1:25" ht="21.75">
      <c r="A8" s="86" t="s">
        <v>102</v>
      </c>
      <c r="B8" s="127"/>
      <c r="C8" s="61">
        <f>VLOOKUP(A8,' سهام'!$A$10:$M$29,12,0)</f>
        <v>1019214</v>
      </c>
      <c r="D8" s="127"/>
      <c r="E8" s="61">
        <f>VLOOKUP(A8,' سهام'!$A$10:$M$29,13,0)</f>
        <v>3808558533</v>
      </c>
      <c r="F8" s="51"/>
      <c r="G8" s="53">
        <v>3972559883</v>
      </c>
      <c r="H8" s="51"/>
      <c r="I8" s="53">
        <f t="shared" ref="I8:I25" si="0">E8-G8</f>
        <v>-164001350</v>
      </c>
      <c r="J8" s="2"/>
      <c r="K8" s="53">
        <v>1030004</v>
      </c>
      <c r="L8" s="31"/>
      <c r="M8" s="53">
        <v>3849603947</v>
      </c>
      <c r="N8" s="31"/>
      <c r="O8" s="53">
        <v>4014615745</v>
      </c>
      <c r="P8" s="31"/>
      <c r="Q8" s="53">
        <f t="shared" ref="Q8:Q25" si="1">M8-O8</f>
        <v>-165011798</v>
      </c>
      <c r="R8" s="102"/>
      <c r="S8" s="102"/>
      <c r="T8" s="102"/>
      <c r="U8" s="102"/>
      <c r="X8" s="102"/>
      <c r="Y8" s="102"/>
    </row>
    <row r="9" spans="1:25" ht="21.75">
      <c r="A9" s="86" t="s">
        <v>110</v>
      </c>
      <c r="B9" s="127"/>
      <c r="C9" s="61">
        <f>VLOOKUP(A9,' سهام'!$A$10:$M$29,12,0)</f>
        <v>394794</v>
      </c>
      <c r="D9" s="127"/>
      <c r="E9" s="61">
        <f>VLOOKUP(A9,' سهام'!$A$10:$M$29,13,0)</f>
        <v>5585895242</v>
      </c>
      <c r="F9" s="51"/>
      <c r="G9" s="53">
        <v>5349025020</v>
      </c>
      <c r="H9" s="51"/>
      <c r="I9" s="53">
        <f t="shared" si="0"/>
        <v>236870222</v>
      </c>
      <c r="J9" s="2"/>
      <c r="K9" s="53">
        <v>397342</v>
      </c>
      <c r="L9" s="31"/>
      <c r="M9" s="53">
        <v>5619181440</v>
      </c>
      <c r="N9" s="31"/>
      <c r="O9" s="53">
        <v>5383547622</v>
      </c>
      <c r="P9" s="31"/>
      <c r="Q9" s="53">
        <f t="shared" si="1"/>
        <v>235633818</v>
      </c>
      <c r="R9" s="102"/>
      <c r="S9" s="102"/>
      <c r="T9" s="102"/>
      <c r="U9" s="102"/>
      <c r="X9" s="102"/>
      <c r="Y9" s="102"/>
    </row>
    <row r="10" spans="1:25" ht="21.75">
      <c r="A10" s="86" t="s">
        <v>112</v>
      </c>
      <c r="B10" s="127"/>
      <c r="C10" s="61">
        <f>VLOOKUP(A10,' سهام'!$A$10:$M$29,12,0)</f>
        <v>107305</v>
      </c>
      <c r="D10" s="127"/>
      <c r="E10" s="61">
        <f>VLOOKUP(A10,' سهام'!$A$10:$M$29,13,0)</f>
        <v>1729936320</v>
      </c>
      <c r="F10" s="51"/>
      <c r="G10" s="53">
        <v>1549864758</v>
      </c>
      <c r="H10" s="51"/>
      <c r="I10" s="53">
        <f t="shared" si="0"/>
        <v>180071562</v>
      </c>
      <c r="J10" s="2"/>
      <c r="K10" s="53">
        <v>108679</v>
      </c>
      <c r="L10" s="31"/>
      <c r="M10" s="53">
        <v>1749912450</v>
      </c>
      <c r="N10" s="31"/>
      <c r="O10" s="53">
        <v>1569710191</v>
      </c>
      <c r="P10" s="31"/>
      <c r="Q10" s="53">
        <f t="shared" si="1"/>
        <v>180202259</v>
      </c>
      <c r="R10" s="102"/>
      <c r="S10" s="102"/>
      <c r="T10" s="102"/>
      <c r="U10" s="102"/>
      <c r="X10" s="102"/>
      <c r="Y10" s="102"/>
    </row>
    <row r="11" spans="1:25" ht="21.75">
      <c r="A11" s="86" t="s">
        <v>99</v>
      </c>
      <c r="B11" s="127"/>
      <c r="C11" s="61">
        <f>VLOOKUP(A11,' سهام'!$A$10:$M$29,12,0)</f>
        <v>33030</v>
      </c>
      <c r="D11" s="127"/>
      <c r="E11" s="61">
        <f>VLOOKUP(A11,' سهام'!$A$10:$M$29,13,0)</f>
        <v>1337407259</v>
      </c>
      <c r="F11" s="51"/>
      <c r="G11" s="53">
        <v>1443031073</v>
      </c>
      <c r="H11" s="51"/>
      <c r="I11" s="53">
        <f t="shared" si="0"/>
        <v>-105623814</v>
      </c>
      <c r="J11" s="2"/>
      <c r="K11" s="53">
        <v>34219</v>
      </c>
      <c r="L11" s="31"/>
      <c r="M11" s="53">
        <v>1388319839</v>
      </c>
      <c r="N11" s="31"/>
      <c r="O11" s="53">
        <v>1494976696</v>
      </c>
      <c r="P11" s="31"/>
      <c r="Q11" s="53">
        <f t="shared" si="1"/>
        <v>-106656857</v>
      </c>
      <c r="R11" s="102"/>
      <c r="S11" s="102"/>
      <c r="T11" s="102"/>
      <c r="U11" s="102"/>
      <c r="X11" s="102"/>
      <c r="Y11" s="102"/>
    </row>
    <row r="12" spans="1:25" ht="21.75">
      <c r="A12" s="86" t="s">
        <v>101</v>
      </c>
      <c r="B12" s="127"/>
      <c r="C12" s="61">
        <f>VLOOKUP(A12,' سهام'!$A$10:$M$29,12,0)</f>
        <v>155823</v>
      </c>
      <c r="D12" s="127"/>
      <c r="E12" s="61">
        <f>VLOOKUP(A12,' سهام'!$A$10:$M$29,13,0)</f>
        <v>2862374413</v>
      </c>
      <c r="F12" s="51"/>
      <c r="G12" s="53">
        <v>2905846205</v>
      </c>
      <c r="H12" s="51"/>
      <c r="I12" s="53">
        <f t="shared" si="0"/>
        <v>-43471792</v>
      </c>
      <c r="J12" s="2"/>
      <c r="K12" s="53">
        <v>159307</v>
      </c>
      <c r="L12" s="31"/>
      <c r="M12" s="53">
        <v>2924920221</v>
      </c>
      <c r="N12" s="31"/>
      <c r="O12" s="53">
        <v>2970817154</v>
      </c>
      <c r="P12" s="31"/>
      <c r="Q12" s="53">
        <f t="shared" si="1"/>
        <v>-45896933</v>
      </c>
      <c r="R12" s="102"/>
      <c r="S12" s="102"/>
      <c r="T12" s="102"/>
      <c r="U12" s="102"/>
      <c r="X12" s="102"/>
      <c r="Y12" s="102"/>
    </row>
    <row r="13" spans="1:25" ht="21.75">
      <c r="A13" s="86" t="s">
        <v>115</v>
      </c>
      <c r="B13" s="127"/>
      <c r="C13" s="61">
        <f>VLOOKUP(A13,' سهام'!$A$10:$M$29,12,0)</f>
        <v>4559</v>
      </c>
      <c r="D13" s="127"/>
      <c r="E13" s="61">
        <f>VLOOKUP(A13,' سهام'!$A$10:$M$29,13,0)</f>
        <v>111655142</v>
      </c>
      <c r="F13" s="51"/>
      <c r="G13" s="53">
        <v>119550839</v>
      </c>
      <c r="H13" s="51"/>
      <c r="I13" s="53">
        <f t="shared" si="0"/>
        <v>-7895697</v>
      </c>
      <c r="J13" s="2"/>
      <c r="K13" s="53">
        <v>4559</v>
      </c>
      <c r="L13" s="31"/>
      <c r="M13" s="53">
        <v>111655142</v>
      </c>
      <c r="N13" s="31"/>
      <c r="O13" s="53">
        <v>119550839</v>
      </c>
      <c r="P13" s="31"/>
      <c r="Q13" s="53">
        <f t="shared" si="1"/>
        <v>-7895697</v>
      </c>
      <c r="R13" s="102"/>
      <c r="S13" s="102"/>
      <c r="T13" s="102"/>
      <c r="U13" s="102"/>
      <c r="X13" s="102"/>
      <c r="Y13" s="102"/>
    </row>
    <row r="14" spans="1:25" ht="21.75">
      <c r="A14" s="86" t="s">
        <v>98</v>
      </c>
      <c r="B14" s="127"/>
      <c r="C14" s="61">
        <f>VLOOKUP(A14,' سهام'!$A$10:$M$29,12,0)</f>
        <v>223882</v>
      </c>
      <c r="D14" s="127"/>
      <c r="E14" s="61">
        <f>VLOOKUP(A14,' سهام'!$A$10:$M$29,13,0)</f>
        <v>3439560733</v>
      </c>
      <c r="F14" s="51"/>
      <c r="G14" s="53">
        <v>3442846989</v>
      </c>
      <c r="H14" s="51"/>
      <c r="I14" s="53">
        <f t="shared" si="0"/>
        <v>-3286256</v>
      </c>
      <c r="J14" s="2"/>
      <c r="K14" s="53">
        <v>226621</v>
      </c>
      <c r="L14" s="31"/>
      <c r="M14" s="53">
        <v>3481408695</v>
      </c>
      <c r="N14" s="31"/>
      <c r="O14" s="53">
        <v>3484967204</v>
      </c>
      <c r="P14" s="31"/>
      <c r="Q14" s="53">
        <f t="shared" si="1"/>
        <v>-3558509</v>
      </c>
      <c r="R14" s="102"/>
      <c r="S14" s="102"/>
      <c r="T14" s="102"/>
      <c r="U14" s="102"/>
      <c r="X14" s="102"/>
      <c r="Y14" s="102"/>
    </row>
    <row r="15" spans="1:25" ht="21.75">
      <c r="A15" s="86" t="s">
        <v>96</v>
      </c>
      <c r="B15" s="127"/>
      <c r="C15" s="61">
        <f>VLOOKUP(A15,' سهام'!$A$10:$M$29,12,0)</f>
        <v>271495</v>
      </c>
      <c r="D15" s="127"/>
      <c r="E15" s="61">
        <f>VLOOKUP(A15,' سهام'!$A$10:$M$29,13,0)</f>
        <v>5804972466</v>
      </c>
      <c r="F15" s="51"/>
      <c r="G15" s="53">
        <v>5521736715</v>
      </c>
      <c r="H15" s="51"/>
      <c r="I15" s="53">
        <f t="shared" si="0"/>
        <v>283235751</v>
      </c>
      <c r="J15" s="2"/>
      <c r="K15" s="53">
        <v>294194</v>
      </c>
      <c r="L15" s="31"/>
      <c r="M15" s="53">
        <v>6276778364</v>
      </c>
      <c r="N15" s="31"/>
      <c r="O15" s="53">
        <v>5983394947</v>
      </c>
      <c r="P15" s="31"/>
      <c r="Q15" s="53">
        <f t="shared" si="1"/>
        <v>293383417</v>
      </c>
      <c r="R15" s="102"/>
      <c r="S15" s="102"/>
      <c r="T15" s="102"/>
      <c r="U15" s="102"/>
      <c r="X15" s="102"/>
      <c r="Y15" s="102"/>
    </row>
    <row r="16" spans="1:25" ht="21.75">
      <c r="A16" s="86" t="s">
        <v>111</v>
      </c>
      <c r="B16" s="127"/>
      <c r="C16" s="61">
        <f>VLOOKUP(A16,' سهام'!$A$10:$M$29,12,0)</f>
        <v>44630</v>
      </c>
      <c r="D16" s="127"/>
      <c r="E16" s="61">
        <f>VLOOKUP(A16,' سهام'!$A$10:$M$29,13,0)</f>
        <v>1197226455</v>
      </c>
      <c r="F16" s="51"/>
      <c r="G16" s="53">
        <v>965814111</v>
      </c>
      <c r="H16" s="51"/>
      <c r="I16" s="53">
        <f t="shared" si="0"/>
        <v>231412344</v>
      </c>
      <c r="J16" s="2"/>
      <c r="K16" s="53">
        <v>45201</v>
      </c>
      <c r="L16" s="31"/>
      <c r="M16" s="53">
        <v>1209565895</v>
      </c>
      <c r="N16" s="31"/>
      <c r="O16" s="53">
        <v>978170819</v>
      </c>
      <c r="P16" s="31"/>
      <c r="Q16" s="53">
        <f t="shared" si="1"/>
        <v>231395076</v>
      </c>
      <c r="R16" s="102"/>
      <c r="S16" s="102"/>
      <c r="T16" s="102"/>
      <c r="U16" s="102"/>
      <c r="X16" s="102"/>
      <c r="Y16" s="102"/>
    </row>
    <row r="17" spans="1:25" ht="21.75">
      <c r="A17" s="86" t="s">
        <v>113</v>
      </c>
      <c r="B17" s="127"/>
      <c r="C17" s="61">
        <f>VLOOKUP(A17,' سهام'!$A$10:$M$29,12,0)</f>
        <v>7881</v>
      </c>
      <c r="D17" s="127"/>
      <c r="E17" s="61">
        <f>VLOOKUP(A17,' سهام'!$A$10:$M$29,13,0)</f>
        <v>722013777</v>
      </c>
      <c r="F17" s="51"/>
      <c r="G17" s="53">
        <v>627198694</v>
      </c>
      <c r="H17" s="51"/>
      <c r="I17" s="53">
        <f t="shared" si="0"/>
        <v>94815083</v>
      </c>
      <c r="J17" s="2"/>
      <c r="K17" s="53">
        <v>7881</v>
      </c>
      <c r="L17" s="31"/>
      <c r="M17" s="53">
        <v>722013777</v>
      </c>
      <c r="N17" s="31"/>
      <c r="O17" s="53">
        <v>627198694</v>
      </c>
      <c r="P17" s="31"/>
      <c r="Q17" s="53">
        <f t="shared" si="1"/>
        <v>94815083</v>
      </c>
      <c r="R17" s="102"/>
      <c r="S17" s="102"/>
      <c r="T17" s="102"/>
      <c r="U17" s="102"/>
      <c r="X17" s="102"/>
      <c r="Y17" s="102"/>
    </row>
    <row r="18" spans="1:25" ht="21.75">
      <c r="A18" s="86" t="s">
        <v>108</v>
      </c>
      <c r="B18" s="127"/>
      <c r="C18" s="61">
        <f>VLOOKUP(A18,' سهام'!$A$10:$M$29,12,0)</f>
        <v>16970</v>
      </c>
      <c r="D18" s="127"/>
      <c r="E18" s="61">
        <f>VLOOKUP(A18,' سهام'!$A$10:$M$29,13,0)</f>
        <v>526836424</v>
      </c>
      <c r="F18" s="51"/>
      <c r="G18" s="53">
        <v>462717454</v>
      </c>
      <c r="H18" s="51"/>
      <c r="I18" s="53">
        <f t="shared" si="0"/>
        <v>64118970</v>
      </c>
      <c r="J18" s="2"/>
      <c r="K18" s="53">
        <v>16970</v>
      </c>
      <c r="L18" s="31"/>
      <c r="M18" s="53">
        <v>526836424</v>
      </c>
      <c r="N18" s="31"/>
      <c r="O18" s="53">
        <v>462717454</v>
      </c>
      <c r="P18" s="31"/>
      <c r="Q18" s="53">
        <f t="shared" si="1"/>
        <v>64118970</v>
      </c>
      <c r="R18" s="102"/>
      <c r="S18" s="102"/>
      <c r="T18" s="102"/>
      <c r="U18" s="102"/>
      <c r="X18" s="102"/>
      <c r="Y18" s="102"/>
    </row>
    <row r="19" spans="1:25" ht="21.75">
      <c r="A19" s="86" t="s">
        <v>114</v>
      </c>
      <c r="B19" s="127"/>
      <c r="C19" s="61">
        <f>VLOOKUP(A19,' سهام'!$A$10:$M$29,12,0)</f>
        <v>40167</v>
      </c>
      <c r="D19" s="127"/>
      <c r="E19" s="61">
        <f>VLOOKUP(A19,' سهام'!$A$10:$M$29,13,0)</f>
        <v>979473149</v>
      </c>
      <c r="F19" s="51"/>
      <c r="G19" s="53">
        <v>919142708</v>
      </c>
      <c r="H19" s="51"/>
      <c r="I19" s="53">
        <f t="shared" si="0"/>
        <v>60330441</v>
      </c>
      <c r="J19" s="2"/>
      <c r="K19" s="53">
        <v>40444</v>
      </c>
      <c r="L19" s="31"/>
      <c r="M19" s="53">
        <v>985652048</v>
      </c>
      <c r="N19" s="31"/>
      <c r="O19" s="53">
        <v>925481307</v>
      </c>
      <c r="P19" s="31"/>
      <c r="Q19" s="53">
        <f t="shared" si="1"/>
        <v>60170741</v>
      </c>
      <c r="R19" s="102"/>
      <c r="S19" s="102"/>
      <c r="T19" s="102"/>
      <c r="U19" s="102"/>
      <c r="X19" s="102"/>
      <c r="Y19" s="102"/>
    </row>
    <row r="20" spans="1:25" ht="21.75">
      <c r="A20" s="86" t="s">
        <v>109</v>
      </c>
      <c r="B20" s="127"/>
      <c r="C20" s="61">
        <f>VLOOKUP(A20,' سهام'!$A$10:$M$29,12,0)</f>
        <v>0</v>
      </c>
      <c r="D20" s="127"/>
      <c r="E20" s="61">
        <f>VLOOKUP(A20,' سهام'!$A$10:$M$29,13,0)</f>
        <v>0</v>
      </c>
      <c r="F20" s="51"/>
      <c r="G20" s="53">
        <v>18</v>
      </c>
      <c r="H20" s="51"/>
      <c r="I20" s="53">
        <f t="shared" si="0"/>
        <v>-18</v>
      </c>
      <c r="J20" s="2"/>
      <c r="K20" s="53">
        <v>2000000</v>
      </c>
      <c r="L20" s="31"/>
      <c r="M20" s="53">
        <v>13151282424</v>
      </c>
      <c r="N20" s="31"/>
      <c r="O20" s="53">
        <v>9620415919</v>
      </c>
      <c r="P20" s="31"/>
      <c r="Q20" s="53">
        <f t="shared" si="1"/>
        <v>3530866505</v>
      </c>
      <c r="R20" s="102"/>
      <c r="S20" s="102"/>
      <c r="T20" s="102"/>
      <c r="U20" s="102"/>
      <c r="X20" s="102"/>
      <c r="Y20" s="102"/>
    </row>
    <row r="21" spans="1:25" ht="21.75">
      <c r="A21" s="86" t="s">
        <v>97</v>
      </c>
      <c r="B21" s="127"/>
      <c r="C21" s="61">
        <f>VLOOKUP(A21,' سهام'!$A$10:$M$29,12,0)</f>
        <v>153354</v>
      </c>
      <c r="D21" s="127"/>
      <c r="E21" s="61">
        <f>VLOOKUP(A21,' سهام'!$A$10:$M$29,13,0)</f>
        <v>2669169811</v>
      </c>
      <c r="F21" s="51"/>
      <c r="G21" s="53">
        <v>2890291671</v>
      </c>
      <c r="H21" s="51"/>
      <c r="I21" s="53">
        <f t="shared" si="0"/>
        <v>-221121860</v>
      </c>
      <c r="J21" s="2"/>
      <c r="K21" s="53">
        <v>155317</v>
      </c>
      <c r="L21" s="31"/>
      <c r="M21" s="53">
        <v>2704127783</v>
      </c>
      <c r="N21" s="31"/>
      <c r="O21" s="53">
        <v>2927288701</v>
      </c>
      <c r="P21" s="31"/>
      <c r="Q21" s="53">
        <f t="shared" si="1"/>
        <v>-223160918</v>
      </c>
      <c r="R21" s="102"/>
      <c r="S21" s="102"/>
      <c r="T21" s="102"/>
      <c r="U21" s="102"/>
      <c r="X21" s="102"/>
      <c r="Y21" s="102"/>
    </row>
    <row r="22" spans="1:25" ht="21.75">
      <c r="A22" s="86" t="s">
        <v>95</v>
      </c>
      <c r="B22" s="127"/>
      <c r="C22" s="61">
        <f>VLOOKUP(A22,' سهام'!$A$10:$M$29,12,0)</f>
        <v>695406</v>
      </c>
      <c r="D22" s="127"/>
      <c r="E22" s="61">
        <f>VLOOKUP(A22,' سهام'!$A$10:$M$29,13,0)</f>
        <v>7771727267</v>
      </c>
      <c r="F22" s="51"/>
      <c r="G22" s="53">
        <v>7265230196</v>
      </c>
      <c r="H22" s="51"/>
      <c r="I22" s="53">
        <f t="shared" si="0"/>
        <v>506497071</v>
      </c>
      <c r="J22" s="2"/>
      <c r="K22" s="53">
        <v>766002</v>
      </c>
      <c r="L22" s="31"/>
      <c r="M22" s="53">
        <v>8543122246</v>
      </c>
      <c r="N22" s="31"/>
      <c r="O22" s="53">
        <v>8002779470</v>
      </c>
      <c r="P22" s="31"/>
      <c r="Q22" s="53">
        <f t="shared" si="1"/>
        <v>540342776</v>
      </c>
      <c r="R22" s="102"/>
      <c r="S22" s="102"/>
      <c r="T22" s="102"/>
      <c r="U22" s="102"/>
      <c r="X22" s="102"/>
      <c r="Y22" s="102"/>
    </row>
    <row r="23" spans="1:25" ht="21.75">
      <c r="A23" s="86" t="s">
        <v>129</v>
      </c>
      <c r="B23" s="127"/>
      <c r="C23" s="61">
        <f>VLOOKUP(A23,' سهام'!$A$10:$M$29,12,0)</f>
        <v>0</v>
      </c>
      <c r="D23" s="127"/>
      <c r="E23" s="61">
        <f>VLOOKUP(A23,' سهام'!$A$10:$M$29,13,0)</f>
        <v>0</v>
      </c>
      <c r="F23" s="51"/>
      <c r="G23" s="53">
        <v>0</v>
      </c>
      <c r="H23" s="51"/>
      <c r="I23" s="53">
        <f t="shared" si="0"/>
        <v>0</v>
      </c>
      <c r="J23" s="2"/>
      <c r="K23" s="53">
        <v>11393</v>
      </c>
      <c r="L23" s="31"/>
      <c r="M23" s="53">
        <v>34246973</v>
      </c>
      <c r="N23" s="31"/>
      <c r="O23" s="53">
        <v>34768399</v>
      </c>
      <c r="P23" s="31"/>
      <c r="Q23" s="53">
        <f t="shared" si="1"/>
        <v>-521426</v>
      </c>
      <c r="R23" s="102"/>
      <c r="S23" s="102"/>
      <c r="T23" s="102"/>
      <c r="U23" s="102"/>
      <c r="X23" s="102"/>
      <c r="Y23" s="102"/>
    </row>
    <row r="24" spans="1:25" ht="21.75">
      <c r="A24" s="86" t="s">
        <v>100</v>
      </c>
      <c r="B24" s="127"/>
      <c r="C24" s="61">
        <f>VLOOKUP(A24,' سهام'!$A$10:$M$29,12,0)</f>
        <v>13001</v>
      </c>
      <c r="D24" s="127"/>
      <c r="E24" s="61">
        <f>VLOOKUP(A24,' سهام'!$A$10:$M$29,13,0)</f>
        <v>299795144</v>
      </c>
      <c r="F24" s="51"/>
      <c r="G24" s="53">
        <v>320764845</v>
      </c>
      <c r="H24" s="51"/>
      <c r="I24" s="53">
        <f t="shared" si="0"/>
        <v>-20969701</v>
      </c>
      <c r="J24" s="2"/>
      <c r="K24" s="53">
        <v>15219</v>
      </c>
      <c r="L24" s="31"/>
      <c r="M24" s="53">
        <v>352201502</v>
      </c>
      <c r="N24" s="31"/>
      <c r="O24" s="53">
        <v>375488053</v>
      </c>
      <c r="P24" s="31"/>
      <c r="Q24" s="53">
        <f t="shared" si="1"/>
        <v>-23286551</v>
      </c>
      <c r="R24" s="102"/>
      <c r="S24" s="102"/>
      <c r="T24" s="102"/>
      <c r="U24" s="102"/>
      <c r="X24" s="102"/>
      <c r="Y24" s="102"/>
    </row>
    <row r="25" spans="1:25" ht="21.75">
      <c r="A25" s="86" t="s">
        <v>116</v>
      </c>
      <c r="B25" s="127"/>
      <c r="C25" s="61">
        <f>VLOOKUP(A25,' سهام'!$A$10:$M$29,12,0)</f>
        <v>5650000</v>
      </c>
      <c r="D25" s="127"/>
      <c r="E25" s="61">
        <f>VLOOKUP(A25,' سهام'!$A$10:$M$29,13,0)</f>
        <v>30879904020</v>
      </c>
      <c r="F25" s="51"/>
      <c r="G25" s="53">
        <v>30272301675</v>
      </c>
      <c r="H25" s="51"/>
      <c r="I25" s="53">
        <f t="shared" si="0"/>
        <v>607602345</v>
      </c>
      <c r="J25" s="2"/>
      <c r="K25" s="53">
        <v>5650000</v>
      </c>
      <c r="L25" s="31"/>
      <c r="M25" s="53">
        <v>30879904020</v>
      </c>
      <c r="N25" s="31"/>
      <c r="O25" s="53">
        <v>30272301675</v>
      </c>
      <c r="P25" s="31"/>
      <c r="Q25" s="53">
        <f t="shared" si="1"/>
        <v>607602345</v>
      </c>
      <c r="R25" s="102"/>
      <c r="S25" s="102"/>
      <c r="T25" s="102"/>
      <c r="U25" s="102"/>
      <c r="X25" s="102"/>
      <c r="Y25" s="102"/>
    </row>
    <row r="26" spans="1:25" ht="22.5" thickBot="1">
      <c r="A26" s="61" t="s">
        <v>2</v>
      </c>
      <c r="B26" s="61"/>
      <c r="C26" s="61">
        <f>SUM(C7:C25)</f>
        <v>8833011</v>
      </c>
      <c r="E26" s="216">
        <f>SUM(E7:E25)</f>
        <v>70769761057</v>
      </c>
      <c r="F26" s="17"/>
      <c r="G26" s="217">
        <f>SUM(G7:G25)</f>
        <v>69068920359</v>
      </c>
      <c r="H26" s="17"/>
      <c r="I26" s="217">
        <f>SUM(I7:I25)</f>
        <v>1700840698</v>
      </c>
      <c r="J26" s="184"/>
      <c r="K26" s="53">
        <f>SUM(K7:K25)</f>
        <v>10964852</v>
      </c>
      <c r="L26" s="218"/>
      <c r="M26" s="217">
        <f>SUM(M7:M25)</f>
        <v>85553988092</v>
      </c>
      <c r="N26" s="17"/>
      <c r="O26" s="217">
        <f>SUM(O7:O25)</f>
        <v>80289188394</v>
      </c>
      <c r="P26" s="219"/>
      <c r="Q26" s="217">
        <f>SUM(Q7:Q25)</f>
        <v>5264799698</v>
      </c>
    </row>
    <row r="27" spans="1:25" ht="23.25" thickTop="1">
      <c r="E27" s="54"/>
      <c r="F27" s="86"/>
      <c r="G27" s="54"/>
      <c r="H27" s="54"/>
      <c r="I27" s="54"/>
      <c r="J27" s="86"/>
      <c r="K27" s="86"/>
      <c r="L27" s="86"/>
      <c r="M27" s="56"/>
      <c r="N27" s="86"/>
      <c r="O27" s="56"/>
      <c r="P27" s="86"/>
      <c r="Q27" s="56"/>
    </row>
    <row r="28" spans="1:25" ht="22.5">
      <c r="E28" s="54"/>
      <c r="F28" s="86"/>
      <c r="G28" s="54"/>
      <c r="H28" s="86"/>
      <c r="I28" s="54"/>
      <c r="J28" s="86"/>
      <c r="K28" s="86"/>
      <c r="L28" s="86"/>
      <c r="M28" s="54"/>
      <c r="N28" s="86"/>
      <c r="O28" s="54"/>
      <c r="P28" s="86"/>
      <c r="Q28" s="54"/>
    </row>
    <row r="29" spans="1:25" ht="10.5" customHeight="1">
      <c r="A29" s="83"/>
      <c r="B29" s="83"/>
      <c r="C29" s="83"/>
      <c r="D29" s="83"/>
      <c r="E29" s="49"/>
      <c r="F29" s="49"/>
      <c r="G29" s="49"/>
      <c r="H29" s="49"/>
      <c r="I29" s="2"/>
      <c r="J29" s="2"/>
      <c r="K29" s="2"/>
      <c r="L29" s="2"/>
      <c r="M29" s="2"/>
      <c r="N29" s="2"/>
      <c r="O29" s="2"/>
      <c r="P29" s="2"/>
      <c r="Q29" s="2"/>
    </row>
    <row r="30" spans="1:25" ht="21.75">
      <c r="A30" s="273" t="s">
        <v>45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5"/>
    </row>
    <row r="31" spans="1:25" ht="6" customHeight="1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25" ht="18" customHeight="1">
      <c r="A32" s="130"/>
      <c r="B32" s="130"/>
      <c r="C32" s="130"/>
      <c r="D32" s="130"/>
      <c r="E32" s="102"/>
      <c r="F32" s="86"/>
      <c r="G32" s="86"/>
      <c r="H32" s="86"/>
      <c r="I32" s="131"/>
      <c r="J32" s="86"/>
      <c r="K32" s="131"/>
      <c r="L32" s="86"/>
      <c r="M32" s="131"/>
      <c r="N32" s="86"/>
      <c r="O32" s="86"/>
      <c r="P32" s="86"/>
      <c r="Q32" s="69"/>
    </row>
    <row r="33" spans="3:17" ht="27">
      <c r="C33" s="102"/>
      <c r="E33" s="167"/>
      <c r="F33" s="86"/>
      <c r="G33" s="86"/>
      <c r="H33" s="86"/>
      <c r="I33" s="37"/>
      <c r="J33" s="86"/>
      <c r="K33" s="102"/>
      <c r="L33" s="86"/>
      <c r="M33" s="190"/>
      <c r="N33" s="86"/>
      <c r="O33" s="86"/>
      <c r="P33" s="86"/>
      <c r="Q33" s="37"/>
    </row>
    <row r="34" spans="3:17" s="37" customFormat="1" ht="24"/>
    <row r="35" spans="3:17" s="37" customFormat="1" ht="24"/>
    <row r="36" spans="3:17" s="37" customFormat="1" ht="24"/>
    <row r="37" spans="3:17" s="37" customFormat="1" ht="24"/>
    <row r="38" spans="3:17" s="37" customFormat="1" ht="24"/>
    <row r="39" spans="3:17" s="37" customFormat="1" ht="24"/>
    <row r="40" spans="3:17">
      <c r="E40" s="86"/>
      <c r="F40" s="86"/>
      <c r="G40" s="86"/>
      <c r="H40" s="86"/>
      <c r="I40" s="102"/>
      <c r="J40" s="86"/>
      <c r="K40" s="86"/>
      <c r="L40" s="86"/>
      <c r="M40" s="86"/>
      <c r="N40" s="86"/>
      <c r="O40" s="86"/>
      <c r="P40" s="86"/>
      <c r="Q40" s="102"/>
    </row>
    <row r="41" spans="3:17" ht="24">
      <c r="Q41" s="35"/>
    </row>
    <row r="42" spans="3:17" ht="24">
      <c r="Q42" s="37"/>
    </row>
    <row r="43" spans="3:17" ht="24">
      <c r="Q43" s="37"/>
    </row>
  </sheetData>
  <autoFilter ref="A6:Q6" xr:uid="{00000000-0009-0000-0000-000007000000}">
    <sortState xmlns:xlrd2="http://schemas.microsoft.com/office/spreadsheetml/2017/richdata2" ref="A7:Q20">
      <sortCondition ref="A6"/>
    </sortState>
  </autoFilter>
  <sortState xmlns:xlrd2="http://schemas.microsoft.com/office/spreadsheetml/2017/richdata2" ref="T7:U36">
    <sortCondition descending="1" ref="T6:T36"/>
  </sortState>
  <mergeCells count="8">
    <mergeCell ref="A1:Q1"/>
    <mergeCell ref="A2:Q2"/>
    <mergeCell ref="A3:Q3"/>
    <mergeCell ref="A30:Q30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7" fitToHeight="0" orientation="landscape" r:id="rId1"/>
  <rowBreaks count="1" manualBreakCount="1">
    <brk id="31" max="1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Y48"/>
  <sheetViews>
    <sheetView rightToLeft="1" view="pageBreakPreview" topLeftCell="B16" zoomScale="80" zoomScaleNormal="100" zoomScaleSheetLayoutView="80" workbookViewId="0">
      <selection activeCell="Q47" sqref="Q47"/>
    </sheetView>
  </sheetViews>
  <sheetFormatPr defaultColWidth="9.140625" defaultRowHeight="21.75"/>
  <cols>
    <col min="1" max="1" width="33.5703125" style="86" customWidth="1"/>
    <col min="2" max="2" width="0.5703125" style="86" customWidth="1"/>
    <col min="3" max="3" width="20.28515625" style="2" bestFit="1" customWidth="1"/>
    <col min="4" max="4" width="0.85546875" style="2" customWidth="1"/>
    <col min="5" max="5" width="25.7109375" style="2" bestFit="1" customWidth="1"/>
    <col min="6" max="6" width="0.85546875" style="2" customWidth="1"/>
    <col min="7" max="7" width="25.7109375" style="2" bestFit="1" customWidth="1"/>
    <col min="8" max="8" width="0.7109375" style="2" customWidth="1"/>
    <col min="9" max="9" width="25.140625" style="2" customWidth="1"/>
    <col min="10" max="10" width="1.42578125" style="2" customWidth="1"/>
    <col min="11" max="11" width="17.7109375" style="2" bestFit="1" customWidth="1"/>
    <col min="12" max="12" width="1.140625" style="2" customWidth="1"/>
    <col min="13" max="13" width="25.7109375" style="2" bestFit="1" customWidth="1"/>
    <col min="14" max="14" width="1" style="2" customWidth="1"/>
    <col min="15" max="15" width="25.7109375" style="2" bestFit="1" customWidth="1"/>
    <col min="16" max="16" width="1.140625" style="2" customWidth="1"/>
    <col min="17" max="17" width="25.7109375" style="2" bestFit="1" customWidth="1"/>
    <col min="18" max="18" width="10" style="86" bestFit="1" customWidth="1"/>
    <col min="19" max="19" width="15.85546875" style="86" bestFit="1" customWidth="1"/>
    <col min="20" max="20" width="13.140625" style="86" bestFit="1" customWidth="1"/>
    <col min="21" max="21" width="15.5703125" style="19" bestFit="1" customWidth="1"/>
    <col min="22" max="22" width="12.140625" style="86" bestFit="1" customWidth="1"/>
    <col min="23" max="23" width="13" style="86" bestFit="1" customWidth="1"/>
    <col min="24" max="24" width="13.140625" style="86" bestFit="1" customWidth="1"/>
    <col min="25" max="25" width="14.28515625" style="86" bestFit="1" customWidth="1"/>
    <col min="26" max="16384" width="9.140625" style="86"/>
  </cols>
  <sheetData>
    <row r="1" spans="1:25" ht="22.5">
      <c r="A1" s="270" t="s">
        <v>94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25" ht="22.5">
      <c r="A2" s="270" t="s">
        <v>57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25" ht="22.5">
      <c r="A3" s="270" t="str">
        <f>' سهام'!A3:W3</f>
        <v>برای ماه منتهی به 1402/09/30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</row>
    <row r="4" spans="1:25">
      <c r="A4" s="257" t="s">
        <v>64</v>
      </c>
      <c r="B4" s="257"/>
      <c r="C4" s="257"/>
      <c r="D4" s="257"/>
      <c r="E4" s="257"/>
      <c r="F4" s="257"/>
      <c r="G4" s="257"/>
      <c r="H4" s="257"/>
    </row>
    <row r="5" spans="1:25" ht="21" customHeight="1">
      <c r="A5" s="72"/>
      <c r="B5" s="72"/>
      <c r="C5" s="280" t="str" cm="1">
        <f t="array" ref="C5:G5">'سود اوراق بهادار و سپرده بانکی'!H5:L5</f>
        <v>طی آذر ماه</v>
      </c>
      <c r="D5" s="280">
        <v>0</v>
      </c>
      <c r="E5" s="280">
        <v>0</v>
      </c>
      <c r="F5" s="280">
        <v>0</v>
      </c>
      <c r="G5" s="280">
        <v>0</v>
      </c>
      <c r="H5" s="280"/>
      <c r="I5" s="280"/>
      <c r="K5" s="280" t="str" cm="1">
        <f t="array" ref="K5:O5">'سود اوراق بهادار و سپرده بانکی'!N5:R5</f>
        <v>از ابتدای سال مالی تا پایان آذر ماه</v>
      </c>
      <c r="L5" s="280">
        <v>0</v>
      </c>
      <c r="M5" s="280">
        <v>0</v>
      </c>
      <c r="N5" s="280">
        <v>0</v>
      </c>
      <c r="O5" s="280">
        <v>0</v>
      </c>
      <c r="P5" s="280"/>
      <c r="Q5" s="280"/>
    </row>
    <row r="6" spans="1:25" ht="27" customHeight="1" thickBot="1">
      <c r="A6" s="92" t="s">
        <v>38</v>
      </c>
      <c r="B6" s="92"/>
      <c r="C6" s="30" t="s">
        <v>3</v>
      </c>
      <c r="D6" s="31"/>
      <c r="E6" s="32" t="s">
        <v>21</v>
      </c>
      <c r="F6" s="31"/>
      <c r="G6" s="30" t="s">
        <v>43</v>
      </c>
      <c r="H6" s="31"/>
      <c r="I6" s="33" t="s">
        <v>44</v>
      </c>
      <c r="K6" s="30" t="s">
        <v>3</v>
      </c>
      <c r="L6" s="31"/>
      <c r="M6" s="32" t="s">
        <v>21</v>
      </c>
      <c r="N6" s="31"/>
      <c r="O6" s="30" t="s">
        <v>43</v>
      </c>
      <c r="P6" s="31"/>
      <c r="Q6" s="33" t="s">
        <v>44</v>
      </c>
    </row>
    <row r="7" spans="1:25">
      <c r="A7" s="132" t="s">
        <v>118</v>
      </c>
      <c r="C7" s="17">
        <f>VLOOKUP(A7,اوراق!$A$9:$AE$12,25,0)</f>
        <v>5000</v>
      </c>
      <c r="D7" s="17"/>
      <c r="E7" s="17">
        <f>VLOOKUP(A7,اوراق!$A$9:$AE$12,31,0)</f>
        <v>3503614857</v>
      </c>
      <c r="F7" s="17" t="s">
        <v>143</v>
      </c>
      <c r="G7" s="17">
        <v>3460547312</v>
      </c>
      <c r="H7" s="17"/>
      <c r="I7" s="17">
        <f>E7-G7</f>
        <v>43067545</v>
      </c>
      <c r="J7" s="17"/>
      <c r="K7" s="17">
        <f>VLOOKUP(A7,اوراق!$A$9:$AE$12,25,0)</f>
        <v>5000</v>
      </c>
      <c r="L7" s="17"/>
      <c r="M7" s="17">
        <f>VLOOKUP(A7,اوراق!$A$9:$AE$12,31,0)</f>
        <v>3503614857</v>
      </c>
      <c r="N7" s="17"/>
      <c r="O7" s="17">
        <v>3470622012</v>
      </c>
      <c r="P7" s="17"/>
      <c r="Q7" s="17">
        <f>M7-O7</f>
        <v>32992845</v>
      </c>
      <c r="R7" s="102"/>
      <c r="S7" s="220"/>
      <c r="T7" s="102"/>
      <c r="X7" s="102"/>
      <c r="Y7" s="102"/>
    </row>
    <row r="8" spans="1:25">
      <c r="A8" s="132" t="s">
        <v>130</v>
      </c>
      <c r="C8" s="17">
        <f>VLOOKUP(A8,اوراق!$A$9:$AE$12,25,0)</f>
        <v>29600</v>
      </c>
      <c r="D8" s="17"/>
      <c r="E8" s="17">
        <f>VLOOKUP(A8,اوراق!$A$9:$AE$12,31,0)</f>
        <v>19983777285</v>
      </c>
      <c r="F8" s="17"/>
      <c r="G8" s="17">
        <v>19953778963</v>
      </c>
      <c r="H8" s="17"/>
      <c r="I8" s="17">
        <f t="shared" ref="I8:I30" si="0">E8-G8</f>
        <v>29998322</v>
      </c>
      <c r="J8" s="17"/>
      <c r="K8" s="17">
        <f>VLOOKUP(A8,اوراق!$A$9:$AE$12,25,0)</f>
        <v>29600</v>
      </c>
      <c r="L8" s="17"/>
      <c r="M8" s="17">
        <f>VLOOKUP(A8,اوراق!$A$9:$AE$12,31,0)</f>
        <v>19983777285</v>
      </c>
      <c r="N8" s="17"/>
      <c r="O8" s="17">
        <v>19953778963</v>
      </c>
      <c r="P8" s="17"/>
      <c r="Q8" s="17">
        <f t="shared" ref="Q8:Q30" si="1">M8-O8</f>
        <v>29998322</v>
      </c>
      <c r="R8" s="102"/>
      <c r="S8" s="220"/>
      <c r="T8" s="102"/>
      <c r="X8" s="102"/>
      <c r="Y8" s="102"/>
    </row>
    <row r="9" spans="1:25">
      <c r="A9" s="132" t="s">
        <v>132</v>
      </c>
      <c r="C9" s="17">
        <f>VLOOKUP(A9,اوراق!$A$9:$AE$12,25,0)</f>
        <v>27300</v>
      </c>
      <c r="D9" s="17"/>
      <c r="E9" s="17">
        <f>VLOOKUP(A9,اوراق!$A$9:$AE$12,31,0)</f>
        <v>14998085105</v>
      </c>
      <c r="F9" s="17"/>
      <c r="G9" s="17">
        <v>14976399978</v>
      </c>
      <c r="H9" s="17"/>
      <c r="I9" s="17">
        <f t="shared" si="0"/>
        <v>21685127</v>
      </c>
      <c r="J9" s="17"/>
      <c r="K9" s="17">
        <f>VLOOKUP(A9,اوراق!$A$9:$AE$12,25,0)</f>
        <v>27300</v>
      </c>
      <c r="L9" s="17"/>
      <c r="M9" s="17">
        <f>VLOOKUP(A9,اوراق!$A$9:$AE$12,31,0)</f>
        <v>14998085105</v>
      </c>
      <c r="N9" s="17"/>
      <c r="O9" s="17">
        <v>14976399978</v>
      </c>
      <c r="P9" s="17"/>
      <c r="Q9" s="17">
        <f t="shared" si="1"/>
        <v>21685127</v>
      </c>
      <c r="R9" s="102"/>
      <c r="S9" s="220"/>
      <c r="T9" s="102"/>
      <c r="X9" s="102"/>
      <c r="Y9" s="102"/>
    </row>
    <row r="10" spans="1:25">
      <c r="A10" s="132" t="s">
        <v>131</v>
      </c>
      <c r="C10" s="17">
        <f>VLOOKUP(A10,اوراق!$A$9:$AE$12,25,0)</f>
        <v>29100</v>
      </c>
      <c r="D10" s="17"/>
      <c r="E10" s="17">
        <f>VLOOKUP(A10,اوراق!$A$9:$AE$12,31,0)</f>
        <v>18930774177</v>
      </c>
      <c r="F10" s="17"/>
      <c r="G10" s="17">
        <v>18932887958</v>
      </c>
      <c r="H10" s="17"/>
      <c r="I10" s="17">
        <f t="shared" si="0"/>
        <v>-2113781</v>
      </c>
      <c r="J10" s="17"/>
      <c r="K10" s="17">
        <f>VLOOKUP(A10,اوراق!$A$9:$AE$12,25,0)</f>
        <v>29100</v>
      </c>
      <c r="L10" s="17"/>
      <c r="M10" s="17">
        <f>VLOOKUP(A10,اوراق!$A$9:$AE$12,31,0)</f>
        <v>18930774177</v>
      </c>
      <c r="N10" s="17"/>
      <c r="O10" s="17">
        <v>18932887958</v>
      </c>
      <c r="P10" s="17"/>
      <c r="Q10" s="17">
        <f t="shared" si="1"/>
        <v>-2113781</v>
      </c>
      <c r="R10" s="102"/>
      <c r="S10" s="220"/>
      <c r="T10" s="102"/>
      <c r="X10" s="102"/>
      <c r="Y10" s="102"/>
    </row>
    <row r="11" spans="1:25">
      <c r="A11" s="132" t="s">
        <v>127</v>
      </c>
      <c r="C11" s="17">
        <f>VLOOKUP(A11,' سهام'!$A$10:$U$29,15,0)</f>
        <v>297640</v>
      </c>
      <c r="D11" s="17"/>
      <c r="E11" s="17">
        <f>VLOOKUP(A11,' سهام'!$A$10:$U$29,21,0)</f>
        <v>2381745789</v>
      </c>
      <c r="F11" s="17"/>
      <c r="G11" s="17">
        <v>2439521117</v>
      </c>
      <c r="H11" s="17"/>
      <c r="I11" s="17">
        <f t="shared" si="0"/>
        <v>-57775328</v>
      </c>
      <c r="J11" s="17"/>
      <c r="K11" s="17">
        <f>VLOOKUP(A11,' سهام'!$A$10:$U$29,15,0)</f>
        <v>297640</v>
      </c>
      <c r="L11" s="17"/>
      <c r="M11" s="17">
        <f>VLOOKUP(A11,' سهام'!$A$10:$U$29,21,0)</f>
        <v>2381745789</v>
      </c>
      <c r="N11" s="17"/>
      <c r="O11" s="17">
        <v>2439521117</v>
      </c>
      <c r="P11" s="17"/>
      <c r="Q11" s="17">
        <f t="shared" si="1"/>
        <v>-57775328</v>
      </c>
      <c r="R11" s="102"/>
      <c r="S11" s="220"/>
      <c r="T11" s="102"/>
      <c r="X11" s="102"/>
      <c r="Y11" s="102"/>
    </row>
    <row r="12" spans="1:25">
      <c r="A12" s="132" t="s">
        <v>102</v>
      </c>
      <c r="C12" s="17">
        <f>VLOOKUP(A12,' سهام'!$A$10:$U$29,15,0)</f>
        <v>1815498</v>
      </c>
      <c r="D12" s="17"/>
      <c r="E12" s="17">
        <f>VLOOKUP(A12,' سهام'!$A$10:$U$29,21,0)</f>
        <v>6709858939</v>
      </c>
      <c r="F12" s="17"/>
      <c r="G12" s="17">
        <v>6614085528</v>
      </c>
      <c r="H12" s="17"/>
      <c r="I12" s="17">
        <f t="shared" si="0"/>
        <v>95773411</v>
      </c>
      <c r="J12" s="17"/>
      <c r="K12" s="17">
        <f>VLOOKUP(A12,' سهام'!A11:U30,15,0)</f>
        <v>1815498</v>
      </c>
      <c r="L12" s="17"/>
      <c r="M12" s="17">
        <f>VLOOKUP(A12,' سهام'!$A$10:$U$29,21,0)</f>
        <v>6709858939</v>
      </c>
      <c r="N12" s="17"/>
      <c r="O12" s="17">
        <v>7076212181</v>
      </c>
      <c r="P12" s="17"/>
      <c r="Q12" s="17">
        <f t="shared" si="1"/>
        <v>-366353242</v>
      </c>
      <c r="R12" s="102"/>
      <c r="S12" s="220"/>
      <c r="T12" s="102"/>
      <c r="X12" s="102"/>
      <c r="Y12" s="102"/>
    </row>
    <row r="13" spans="1:25">
      <c r="A13" s="132" t="s">
        <v>110</v>
      </c>
      <c r="C13" s="17">
        <f>VLOOKUP(A13,' سهام'!$A$10:$U$29,15,0)</f>
        <v>0</v>
      </c>
      <c r="D13" s="17"/>
      <c r="E13" s="17">
        <f>VLOOKUP(A13,' سهام'!$A$10:$U$29,21,0)</f>
        <v>0</v>
      </c>
      <c r="F13" s="17"/>
      <c r="G13" s="17">
        <v>15697800</v>
      </c>
      <c r="H13" s="17"/>
      <c r="I13" s="17">
        <f t="shared" si="0"/>
        <v>-15697800</v>
      </c>
      <c r="J13" s="17"/>
      <c r="K13" s="17">
        <f>VLOOKUP(A13,' سهام'!A12:U31,15,0)</f>
        <v>0</v>
      </c>
      <c r="L13" s="17"/>
      <c r="M13" s="17">
        <f>VLOOKUP(A13,' سهام'!$A$10:$U$29,21,0)</f>
        <v>0</v>
      </c>
      <c r="N13" s="17"/>
      <c r="O13" s="17">
        <v>0</v>
      </c>
      <c r="P13" s="17"/>
      <c r="Q13" s="17">
        <f t="shared" si="1"/>
        <v>0</v>
      </c>
      <c r="R13" s="102"/>
      <c r="S13" s="220"/>
      <c r="T13" s="102"/>
      <c r="X13" s="102"/>
      <c r="Y13" s="102"/>
    </row>
    <row r="14" spans="1:25">
      <c r="A14" s="132" t="s">
        <v>112</v>
      </c>
      <c r="C14" s="17">
        <f>VLOOKUP(A14,' سهام'!$A$10:$U$29,15,0)</f>
        <v>105546</v>
      </c>
      <c r="D14" s="17"/>
      <c r="E14" s="17">
        <f>VLOOKUP(A14,' سهام'!$A$10:$U$29,21,0)</f>
        <v>1832917486</v>
      </c>
      <c r="F14" s="17"/>
      <c r="G14" s="17">
        <v>1700073727</v>
      </c>
      <c r="H14" s="17"/>
      <c r="I14" s="17">
        <f t="shared" si="0"/>
        <v>132843759</v>
      </c>
      <c r="J14" s="17"/>
      <c r="K14" s="17">
        <f>VLOOKUP(A14,' سهام'!A13:U32,15,0)</f>
        <v>105546</v>
      </c>
      <c r="L14" s="17"/>
      <c r="M14" s="17">
        <f>VLOOKUP(A14,' سهام'!$A$10:$U$29,21,0)</f>
        <v>1832917486</v>
      </c>
      <c r="N14" s="17"/>
      <c r="O14" s="17">
        <v>1524458561</v>
      </c>
      <c r="P14" s="17"/>
      <c r="Q14" s="17">
        <f t="shared" si="1"/>
        <v>308458925</v>
      </c>
      <c r="R14" s="102"/>
      <c r="S14" s="220"/>
      <c r="T14" s="102"/>
      <c r="X14" s="102"/>
      <c r="Y14" s="102"/>
    </row>
    <row r="15" spans="1:25">
      <c r="A15" s="132" t="s">
        <v>99</v>
      </c>
      <c r="C15" s="17">
        <f>VLOOKUP(A15,' سهام'!$A$10:$U$29,15,0)</f>
        <v>151421</v>
      </c>
      <c r="D15" s="17"/>
      <c r="E15" s="17">
        <f>VLOOKUP(A15,' سهام'!$A$10:$U$29,21,0)</f>
        <v>6452794335</v>
      </c>
      <c r="F15" s="17"/>
      <c r="G15" s="17">
        <v>6158805725</v>
      </c>
      <c r="H15" s="17"/>
      <c r="I15" s="17">
        <f t="shared" si="0"/>
        <v>293988610</v>
      </c>
      <c r="J15" s="17"/>
      <c r="K15" s="17">
        <f>VLOOKUP(A15,' سهام'!A14:U33,15,0)</f>
        <v>151421</v>
      </c>
      <c r="L15" s="17"/>
      <c r="M15" s="17">
        <f>VLOOKUP(A15,' سهام'!$A$10:$U$29,21,0)</f>
        <v>6452794335</v>
      </c>
      <c r="N15" s="17"/>
      <c r="O15" s="17">
        <v>6615355982</v>
      </c>
      <c r="P15" s="17"/>
      <c r="Q15" s="17">
        <f t="shared" si="1"/>
        <v>-162561647</v>
      </c>
      <c r="R15" s="102"/>
      <c r="S15" s="220"/>
      <c r="T15" s="102"/>
      <c r="X15" s="102"/>
      <c r="Y15" s="102"/>
    </row>
    <row r="16" spans="1:25">
      <c r="A16" s="132" t="s">
        <v>128</v>
      </c>
      <c r="C16" s="17">
        <f>VLOOKUP(A16,' سهام'!$A$10:$U$29,15,0)</f>
        <v>661436</v>
      </c>
      <c r="D16" s="17"/>
      <c r="E16" s="17">
        <f>VLOOKUP(A16,' سهام'!$A$10:$U$29,21,0)</f>
        <v>5120355991</v>
      </c>
      <c r="F16" s="17"/>
      <c r="G16" s="17">
        <v>7210112069</v>
      </c>
      <c r="H16" s="17"/>
      <c r="I16" s="17">
        <f t="shared" si="0"/>
        <v>-2089756078</v>
      </c>
      <c r="J16" s="17"/>
      <c r="K16" s="17">
        <f>VLOOKUP(A16,' سهام'!A15:U34,15,0)</f>
        <v>661436</v>
      </c>
      <c r="L16" s="17"/>
      <c r="M16" s="17">
        <f>VLOOKUP(A16,' سهام'!$A$10:$U$29,21,0)</f>
        <v>5120355991</v>
      </c>
      <c r="N16" s="17"/>
      <c r="O16" s="17">
        <v>7210112069</v>
      </c>
      <c r="P16" s="17"/>
      <c r="Q16" s="17">
        <f t="shared" si="1"/>
        <v>-2089756078</v>
      </c>
      <c r="R16" s="102"/>
      <c r="S16" s="220"/>
      <c r="T16" s="102"/>
      <c r="X16" s="102"/>
      <c r="Y16" s="102"/>
    </row>
    <row r="17" spans="1:25">
      <c r="A17" s="132" t="s">
        <v>101</v>
      </c>
      <c r="C17" s="17">
        <f>VLOOKUP(A17,' سهام'!$A$10:$U$29,15,0)</f>
        <v>383996</v>
      </c>
      <c r="D17" s="17"/>
      <c r="E17" s="17">
        <f>VLOOKUP(A17,' سهام'!$A$10:$U$29,21,0)</f>
        <v>7092194542</v>
      </c>
      <c r="F17" s="17"/>
      <c r="G17" s="17">
        <v>7042849005</v>
      </c>
      <c r="H17" s="17"/>
      <c r="I17" s="17">
        <f t="shared" si="0"/>
        <v>49345537</v>
      </c>
      <c r="J17" s="17"/>
      <c r="K17" s="17">
        <f>VLOOKUP(A17,' سهام'!A16:U35,15,0)</f>
        <v>383996</v>
      </c>
      <c r="L17" s="17"/>
      <c r="M17" s="17">
        <f>VLOOKUP(A17,' سهام'!$A$10:$U$29,21,0)</f>
        <v>7092194542</v>
      </c>
      <c r="N17" s="17"/>
      <c r="O17" s="17">
        <v>7160902563</v>
      </c>
      <c r="P17" s="17"/>
      <c r="Q17" s="17">
        <f t="shared" si="1"/>
        <v>-68708021</v>
      </c>
      <c r="R17" s="102"/>
      <c r="S17" s="220"/>
      <c r="T17" s="102"/>
      <c r="X17" s="102"/>
      <c r="Y17" s="102"/>
    </row>
    <row r="18" spans="1:25">
      <c r="A18" s="132" t="s">
        <v>115</v>
      </c>
      <c r="C18" s="17">
        <f>VLOOKUP(A18,' سهام'!$A$10:$U$29,15,0)</f>
        <v>0</v>
      </c>
      <c r="D18" s="17"/>
      <c r="E18" s="17">
        <f>VLOOKUP(A18,' سهام'!$A$10:$U$29,21,0)</f>
        <v>0</v>
      </c>
      <c r="F18" s="17"/>
      <c r="G18" s="17">
        <v>-8429286</v>
      </c>
      <c r="H18" s="17"/>
      <c r="I18" s="17">
        <f t="shared" si="0"/>
        <v>8429286</v>
      </c>
      <c r="J18" s="17"/>
      <c r="K18" s="17">
        <f>VLOOKUP(A18,' سهام'!A17:U36,15,0)</f>
        <v>0</v>
      </c>
      <c r="L18" s="17"/>
      <c r="M18" s="17">
        <f>VLOOKUP(A18,' سهام'!$A$10:$U$29,21,0)</f>
        <v>0</v>
      </c>
      <c r="N18" s="17"/>
      <c r="O18" s="17">
        <v>0</v>
      </c>
      <c r="P18" s="17"/>
      <c r="Q18" s="17">
        <f t="shared" si="1"/>
        <v>0</v>
      </c>
      <c r="R18" s="102"/>
      <c r="S18" s="220"/>
      <c r="T18" s="102"/>
      <c r="X18" s="102"/>
      <c r="Y18" s="102"/>
    </row>
    <row r="19" spans="1:25">
      <c r="A19" s="132" t="s">
        <v>98</v>
      </c>
      <c r="C19" s="17">
        <f>VLOOKUP(A19,' سهام'!$A$10:$U$29,15,0)</f>
        <v>200611</v>
      </c>
      <c r="D19" s="17"/>
      <c r="E19" s="17">
        <f>VLOOKUP(A19,' سهام'!$A$10:$U$29,21,0)</f>
        <v>3597489259</v>
      </c>
      <c r="F19" s="17"/>
      <c r="G19" s="17">
        <v>2979494812</v>
      </c>
      <c r="H19" s="17"/>
      <c r="I19" s="17">
        <f t="shared" si="0"/>
        <v>617994447</v>
      </c>
      <c r="J19" s="17"/>
      <c r="K19" s="17">
        <f>VLOOKUP(A19,' سهام'!A18:U37,15,0)</f>
        <v>200611</v>
      </c>
      <c r="L19" s="17"/>
      <c r="M19" s="17">
        <f>VLOOKUP(A19,' سهام'!$A$10:$U$29,21,0)</f>
        <v>3597489259</v>
      </c>
      <c r="N19" s="17"/>
      <c r="O19" s="17">
        <v>3084986629</v>
      </c>
      <c r="P19" s="17"/>
      <c r="Q19" s="17">
        <f t="shared" si="1"/>
        <v>512502630</v>
      </c>
      <c r="R19" s="102"/>
      <c r="S19" s="220"/>
      <c r="T19" s="102"/>
      <c r="X19" s="102"/>
      <c r="Y19" s="102"/>
    </row>
    <row r="20" spans="1:25">
      <c r="A20" s="132" t="s">
        <v>96</v>
      </c>
      <c r="C20" s="17">
        <f>VLOOKUP(A20,' سهام'!$A$10:$U$29,15,0)</f>
        <v>255845</v>
      </c>
      <c r="D20" s="17"/>
      <c r="E20" s="17">
        <f>VLOOKUP(A20,' سهام'!$A$10:$U$29,21,0)</f>
        <v>6096115655</v>
      </c>
      <c r="F20" s="17"/>
      <c r="G20" s="17">
        <v>5208684923</v>
      </c>
      <c r="H20" s="17"/>
      <c r="I20" s="17">
        <f t="shared" si="0"/>
        <v>887430732</v>
      </c>
      <c r="J20" s="17"/>
      <c r="K20" s="17">
        <f>VLOOKUP(A20,' سهام'!A19:U38,15,0)</f>
        <v>255845</v>
      </c>
      <c r="L20" s="17"/>
      <c r="M20" s="17">
        <f>VLOOKUP(A20,' سهام'!$A$10:$U$29,21,0)</f>
        <v>6096115655</v>
      </c>
      <c r="N20" s="17"/>
      <c r="O20" s="17">
        <v>5203442900</v>
      </c>
      <c r="P20" s="17"/>
      <c r="Q20" s="17">
        <f t="shared" si="1"/>
        <v>892672755</v>
      </c>
      <c r="R20" s="102"/>
      <c r="S20" s="220"/>
      <c r="T20" s="102"/>
      <c r="X20" s="102"/>
      <c r="Y20" s="102"/>
    </row>
    <row r="21" spans="1:25">
      <c r="A21" s="132" t="s">
        <v>111</v>
      </c>
      <c r="C21" s="17">
        <f>VLOOKUP(A21,' سهام'!$A$10:$U$29,15,0)</f>
        <v>43898</v>
      </c>
      <c r="D21" s="17"/>
      <c r="E21" s="17">
        <f>VLOOKUP(A21,' سهام'!$A$10:$U$29,21,0)</f>
        <v>1217903285</v>
      </c>
      <c r="F21" s="17"/>
      <c r="G21" s="17">
        <v>1240377442</v>
      </c>
      <c r="H21" s="17"/>
      <c r="I21" s="17">
        <f t="shared" si="0"/>
        <v>-22474157</v>
      </c>
      <c r="J21" s="17"/>
      <c r="K21" s="17">
        <f>VLOOKUP(A21,' سهام'!A20:U39,15,0)</f>
        <v>43898</v>
      </c>
      <c r="L21" s="17"/>
      <c r="M21" s="17">
        <f>VLOOKUP(A21,' سهام'!$A$10:$U$29,21,0)</f>
        <v>1217903285</v>
      </c>
      <c r="N21" s="17"/>
      <c r="O21" s="17">
        <v>949973287</v>
      </c>
      <c r="P21" s="17"/>
      <c r="Q21" s="17">
        <f t="shared" si="1"/>
        <v>267929998</v>
      </c>
      <c r="R21" s="102"/>
      <c r="S21" s="220"/>
      <c r="T21" s="102"/>
      <c r="X21" s="102"/>
      <c r="Y21" s="102"/>
    </row>
    <row r="22" spans="1:25">
      <c r="A22" s="132" t="s">
        <v>113</v>
      </c>
      <c r="C22" s="17">
        <f>VLOOKUP(A22,' سهام'!$A$10:$U$29,15,0)</f>
        <v>0</v>
      </c>
      <c r="D22" s="17"/>
      <c r="E22" s="17">
        <f>VLOOKUP(A22,' سهام'!$A$10:$U$29,21,0)</f>
        <v>0</v>
      </c>
      <c r="F22" s="17"/>
      <c r="G22" s="17">
        <v>83119885</v>
      </c>
      <c r="H22" s="17"/>
      <c r="I22" s="17">
        <f t="shared" si="0"/>
        <v>-83119885</v>
      </c>
      <c r="J22" s="17"/>
      <c r="K22" s="17">
        <f>VLOOKUP(A22,' سهام'!A21:U40,15,0)</f>
        <v>0</v>
      </c>
      <c r="L22" s="17"/>
      <c r="M22" s="17">
        <f>VLOOKUP(A22,' سهام'!$A$10:$U$29,21,0)</f>
        <v>0</v>
      </c>
      <c r="N22" s="17"/>
      <c r="O22" s="17">
        <v>0</v>
      </c>
      <c r="P22" s="17"/>
      <c r="Q22" s="17">
        <f t="shared" si="1"/>
        <v>0</v>
      </c>
      <c r="R22" s="102"/>
      <c r="S22" s="220"/>
      <c r="T22" s="102"/>
      <c r="X22" s="102"/>
      <c r="Y22" s="102"/>
    </row>
    <row r="23" spans="1:25">
      <c r="A23" s="132" t="s">
        <v>108</v>
      </c>
      <c r="C23" s="17">
        <f>VLOOKUP(A23,' سهام'!$A$10:$U$29,15,0)</f>
        <v>46976</v>
      </c>
      <c r="D23" s="17"/>
      <c r="E23" s="17">
        <f>VLOOKUP(A23,' سهام'!$A$10:$U$29,21,0)</f>
        <v>1561530722</v>
      </c>
      <c r="F23" s="17"/>
      <c r="G23" s="17">
        <v>1525468403</v>
      </c>
      <c r="H23" s="17"/>
      <c r="I23" s="17">
        <f t="shared" si="0"/>
        <v>36062319</v>
      </c>
      <c r="J23" s="17"/>
      <c r="K23" s="17">
        <f>VLOOKUP(A23,' سهام'!A22:U41,15,0)</f>
        <v>46976</v>
      </c>
      <c r="L23" s="17"/>
      <c r="M23" s="17">
        <f>VLOOKUP(A23,' سهام'!$A$10:$U$29,21,0)</f>
        <v>1561530722</v>
      </c>
      <c r="N23" s="17"/>
      <c r="O23" s="17">
        <v>1452182901</v>
      </c>
      <c r="P23" s="17"/>
      <c r="Q23" s="17">
        <f t="shared" si="1"/>
        <v>109347821</v>
      </c>
      <c r="R23" s="102"/>
      <c r="S23" s="220"/>
      <c r="T23" s="102"/>
      <c r="X23" s="102"/>
      <c r="Y23" s="102"/>
    </row>
    <row r="24" spans="1:25">
      <c r="A24" s="132" t="s">
        <v>114</v>
      </c>
      <c r="C24" s="17">
        <f>VLOOKUP(A24,' سهام'!$A$10:$U$29,15,0)</f>
        <v>39510</v>
      </c>
      <c r="D24" s="17"/>
      <c r="E24" s="17">
        <f>VLOOKUP(A24,' سهام'!$A$10:$U$29,21,0)</f>
        <v>1046283752</v>
      </c>
      <c r="F24" s="17"/>
      <c r="G24" s="17">
        <v>957966542</v>
      </c>
      <c r="H24" s="17"/>
      <c r="I24" s="17">
        <f t="shared" si="0"/>
        <v>88317210</v>
      </c>
      <c r="J24" s="17"/>
      <c r="K24" s="17">
        <f>VLOOKUP(A24,' سهام'!A23:U42,15,0)</f>
        <v>39510</v>
      </c>
      <c r="L24" s="17"/>
      <c r="M24" s="17">
        <f>VLOOKUP(A24,' سهام'!$A$10:$U$29,21,0)</f>
        <v>1046283752</v>
      </c>
      <c r="N24" s="17"/>
      <c r="O24" s="17">
        <v>904108556</v>
      </c>
      <c r="P24" s="17"/>
      <c r="Q24" s="17">
        <f t="shared" si="1"/>
        <v>142175196</v>
      </c>
      <c r="R24" s="102"/>
      <c r="S24" s="220"/>
      <c r="T24" s="102"/>
      <c r="X24" s="102"/>
      <c r="Y24" s="102"/>
    </row>
    <row r="25" spans="1:25">
      <c r="A25" s="132" t="s">
        <v>109</v>
      </c>
      <c r="C25" s="17">
        <f>VLOOKUP(A25,' سهام'!$A$10:$U$29,15,0)</f>
        <v>12837776</v>
      </c>
      <c r="D25" s="17"/>
      <c r="E25" s="17">
        <f>VLOOKUP(A25,' سهام'!$A$10:$U$29,21,0)</f>
        <v>83969954316</v>
      </c>
      <c r="F25" s="17"/>
      <c r="G25" s="17">
        <v>86113868043</v>
      </c>
      <c r="H25" s="17"/>
      <c r="I25" s="17">
        <f t="shared" si="0"/>
        <v>-2143913727</v>
      </c>
      <c r="J25" s="17"/>
      <c r="K25" s="17">
        <f>VLOOKUP(A25,' سهام'!A24:U43,15,0)</f>
        <v>12837776</v>
      </c>
      <c r="L25" s="17"/>
      <c r="M25" s="17">
        <f>VLOOKUP(A25,' سهام'!$A$10:$U$29,21,0)</f>
        <v>83969954316</v>
      </c>
      <c r="N25" s="17"/>
      <c r="O25" s="17">
        <v>61752372181</v>
      </c>
      <c r="P25" s="17"/>
      <c r="Q25" s="17">
        <f t="shared" si="1"/>
        <v>22217582135</v>
      </c>
      <c r="R25" s="102"/>
      <c r="S25" s="220"/>
      <c r="T25" s="102"/>
      <c r="X25" s="102"/>
      <c r="Y25" s="102"/>
    </row>
    <row r="26" spans="1:25">
      <c r="A26" s="132" t="s">
        <v>97</v>
      </c>
      <c r="C26" s="17">
        <f>VLOOKUP(A26,' سهام'!$A$10:$U$29,15,0)</f>
        <v>150838</v>
      </c>
      <c r="D26" s="17"/>
      <c r="E26" s="17">
        <f>VLOOKUP(A26,' سهام'!$A$10:$U$29,21,0)</f>
        <v>2712423900</v>
      </c>
      <c r="F26" s="17"/>
      <c r="G26" s="17">
        <v>2443727829</v>
      </c>
      <c r="H26" s="17"/>
      <c r="I26" s="17">
        <f t="shared" si="0"/>
        <v>268696071</v>
      </c>
      <c r="J26" s="17"/>
      <c r="K26" s="17">
        <f>VLOOKUP(A26,' سهام'!A25:U44,15,0)</f>
        <v>150838</v>
      </c>
      <c r="L26" s="17"/>
      <c r="M26" s="17">
        <f>VLOOKUP(A26,' سهام'!$A$10:$U$29,21,0)</f>
        <v>2712423900</v>
      </c>
      <c r="N26" s="17"/>
      <c r="O26" s="17">
        <v>2842872145</v>
      </c>
      <c r="P26" s="17"/>
      <c r="Q26" s="17">
        <f t="shared" si="1"/>
        <v>-130448245</v>
      </c>
      <c r="R26" s="102"/>
      <c r="S26" s="220"/>
      <c r="T26" s="102"/>
      <c r="X26" s="102"/>
      <c r="Y26" s="102"/>
    </row>
    <row r="27" spans="1:25">
      <c r="A27" s="132" t="s">
        <v>95</v>
      </c>
      <c r="C27" s="17">
        <f>VLOOKUP(A27,' سهام'!$A$10:$U$29,15,0)</f>
        <v>240196</v>
      </c>
      <c r="D27" s="17"/>
      <c r="E27" s="17">
        <f>VLOOKUP(A27,' سهام'!$A$10:$U$29,21,0)</f>
        <v>2953545738</v>
      </c>
      <c r="F27" s="17"/>
      <c r="G27" s="17">
        <v>2955856306</v>
      </c>
      <c r="H27" s="17"/>
      <c r="I27" s="17">
        <f t="shared" si="0"/>
        <v>-2310568</v>
      </c>
      <c r="J27" s="17"/>
      <c r="K27" s="17">
        <f>VLOOKUP(A27,' سهام'!A26:U45,15,0)</f>
        <v>240196</v>
      </c>
      <c r="L27" s="17"/>
      <c r="M27" s="17">
        <f>VLOOKUP(A27,' سهام'!$A$10:$U$29,21,0)</f>
        <v>2953545738</v>
      </c>
      <c r="N27" s="17"/>
      <c r="O27" s="17">
        <v>2509439424</v>
      </c>
      <c r="P27" s="17"/>
      <c r="Q27" s="17">
        <f t="shared" si="1"/>
        <v>444106314</v>
      </c>
      <c r="R27" s="102"/>
      <c r="S27" s="220"/>
      <c r="T27" s="102"/>
      <c r="X27" s="102"/>
      <c r="Y27" s="102"/>
    </row>
    <row r="28" spans="1:25">
      <c r="A28" s="132" t="s">
        <v>129</v>
      </c>
      <c r="C28" s="17">
        <f>VLOOKUP(A28,' سهام'!$A$10:$U$29,15,0)</f>
        <v>1764770</v>
      </c>
      <c r="D28" s="17"/>
      <c r="E28" s="17">
        <f>VLOOKUP(A28,' سهام'!$A$10:$U$29,21,0)</f>
        <v>5868031878</v>
      </c>
      <c r="F28" s="17"/>
      <c r="G28" s="17">
        <v>5350522340</v>
      </c>
      <c r="H28" s="17"/>
      <c r="I28" s="17">
        <f t="shared" si="0"/>
        <v>517509538</v>
      </c>
      <c r="J28" s="17"/>
      <c r="K28" s="17">
        <f>VLOOKUP(A28,' سهام'!A27:U46,15,0)</f>
        <v>1764770</v>
      </c>
      <c r="L28" s="17"/>
      <c r="M28" s="17">
        <f>VLOOKUP(A28,' سهام'!$A$10:$U$29,21,0)</f>
        <v>5868031878</v>
      </c>
      <c r="N28" s="17"/>
      <c r="O28" s="17">
        <v>5385607733</v>
      </c>
      <c r="P28" s="17"/>
      <c r="Q28" s="17">
        <f t="shared" si="1"/>
        <v>482424145</v>
      </c>
      <c r="R28" s="102"/>
      <c r="S28" s="220"/>
      <c r="T28" s="102"/>
      <c r="X28" s="102"/>
      <c r="Y28" s="102"/>
    </row>
    <row r="29" spans="1:25">
      <c r="A29" s="132" t="s">
        <v>100</v>
      </c>
      <c r="C29" s="17">
        <f>VLOOKUP(A29,' سهام'!$A$10:$U$29,15,0)</f>
        <v>330718</v>
      </c>
      <c r="D29" s="17"/>
      <c r="E29" s="17">
        <f>VLOOKUP(A29,' سهام'!$A$10:$U$29,21,0)</f>
        <v>2896289512</v>
      </c>
      <c r="F29" s="17"/>
      <c r="G29" s="17">
        <v>484792126</v>
      </c>
      <c r="H29" s="17"/>
      <c r="I29" s="17">
        <f t="shared" si="0"/>
        <v>2411497386</v>
      </c>
      <c r="J29" s="17"/>
      <c r="K29" s="17">
        <f>VLOOKUP(A29,' سهام'!A28:U47,15,0)</f>
        <v>330718</v>
      </c>
      <c r="L29" s="17"/>
      <c r="M29" s="17">
        <f>VLOOKUP(A29,' سهام'!$A$10:$U$29,21,0)</f>
        <v>2896289512</v>
      </c>
      <c r="N29" s="17"/>
      <c r="O29" s="17">
        <v>949468592</v>
      </c>
      <c r="P29" s="17"/>
      <c r="Q29" s="17">
        <f t="shared" si="1"/>
        <v>1946820920</v>
      </c>
      <c r="R29" s="102"/>
      <c r="S29" s="220"/>
      <c r="T29" s="102"/>
      <c r="X29" s="102"/>
      <c r="Y29" s="102"/>
    </row>
    <row r="30" spans="1:25">
      <c r="A30" s="132" t="s">
        <v>116</v>
      </c>
      <c r="C30" s="17">
        <f>VLOOKUP(A30,' سهام'!$A$10:$U$29,15,0)</f>
        <v>0</v>
      </c>
      <c r="D30" s="17"/>
      <c r="E30" s="17">
        <f>VLOOKUP(A30,' سهام'!$A$10:$U$29,21,0)</f>
        <v>0</v>
      </c>
      <c r="F30" s="17"/>
      <c r="G30" s="17">
        <v>-1516423275</v>
      </c>
      <c r="H30" s="17"/>
      <c r="I30" s="17">
        <f t="shared" si="0"/>
        <v>1516423275</v>
      </c>
      <c r="J30" s="17"/>
      <c r="K30" s="17">
        <f>VLOOKUP(A30,' سهام'!A29:U48,15,0)</f>
        <v>0</v>
      </c>
      <c r="L30" s="17"/>
      <c r="M30" s="17">
        <f>VLOOKUP(A30,' سهام'!$A$10:$U$29,21,0)</f>
        <v>0</v>
      </c>
      <c r="N30" s="17"/>
      <c r="O30" s="17">
        <v>0</v>
      </c>
      <c r="P30" s="17"/>
      <c r="Q30" s="17">
        <f t="shared" si="1"/>
        <v>0</v>
      </c>
      <c r="R30" s="102"/>
      <c r="S30" s="220"/>
      <c r="T30" s="102"/>
      <c r="X30" s="102"/>
      <c r="Y30" s="102"/>
    </row>
    <row r="31" spans="1:25" ht="23.25" thickBot="1">
      <c r="A31" s="132"/>
      <c r="B31" s="132"/>
      <c r="C31" s="132">
        <f>SUM(C7:C30)</f>
        <v>19417675</v>
      </c>
      <c r="D31" s="132"/>
      <c r="E31" s="221">
        <f>SUM(E7:E30)</f>
        <v>198925686523</v>
      </c>
      <c r="F31" s="34"/>
      <c r="G31" s="221">
        <f>SUM(G7:G30)</f>
        <v>196323785272</v>
      </c>
      <c r="H31" s="34"/>
      <c r="I31" s="221">
        <f>SUM(I7:I30)</f>
        <v>2601901251</v>
      </c>
      <c r="J31" s="34"/>
      <c r="K31" s="17">
        <f>SUM(K7:K30)</f>
        <v>19417675</v>
      </c>
      <c r="L31" s="34"/>
      <c r="M31" s="221">
        <f>SUM(M7:M30)</f>
        <v>198925686523</v>
      </c>
      <c r="N31" s="34"/>
      <c r="O31" s="221">
        <f>SUM(O7:O30)</f>
        <v>174394705732</v>
      </c>
      <c r="P31" s="34"/>
      <c r="Q31" s="221">
        <f>SUM(Q7:Q30)</f>
        <v>24530980791</v>
      </c>
      <c r="R31" s="102"/>
      <c r="S31" s="102"/>
      <c r="T31" s="102"/>
    </row>
    <row r="32" spans="1:25" ht="23.25" thickTop="1">
      <c r="A32" s="72"/>
      <c r="B32" s="72"/>
      <c r="C32" s="82"/>
      <c r="D32" s="72"/>
      <c r="E32" s="57"/>
      <c r="F32" s="34"/>
      <c r="G32" s="57"/>
      <c r="H32" s="34"/>
      <c r="I32" s="57"/>
      <c r="J32" s="34"/>
      <c r="K32" s="82"/>
      <c r="L32" s="34"/>
      <c r="M32" s="57"/>
      <c r="N32" s="34"/>
      <c r="O32" s="57"/>
      <c r="P32" s="34"/>
      <c r="Q32" s="57"/>
      <c r="R32" s="102"/>
      <c r="S32" s="102"/>
      <c r="T32" s="102"/>
    </row>
    <row r="33" spans="1:20" ht="22.5">
      <c r="A33" s="72"/>
      <c r="B33" s="72"/>
      <c r="C33" s="82"/>
      <c r="D33" s="72"/>
      <c r="E33" s="57"/>
      <c r="F33" s="34"/>
      <c r="G33" s="57"/>
      <c r="H33" s="34"/>
      <c r="I33" s="57"/>
      <c r="J33" s="34"/>
      <c r="K33" s="82"/>
      <c r="L33" s="34"/>
      <c r="M33" s="57"/>
      <c r="N33" s="34"/>
      <c r="O33" s="57"/>
      <c r="P33" s="34"/>
      <c r="Q33" s="57"/>
      <c r="R33" s="102"/>
      <c r="S33" s="102"/>
      <c r="T33" s="102"/>
    </row>
    <row r="34" spans="1:20" ht="7.5" customHeight="1">
      <c r="A34" s="72"/>
      <c r="B34" s="72"/>
    </row>
    <row r="35" spans="1:20" ht="24.75" customHeight="1">
      <c r="A35" s="277" t="s">
        <v>45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9"/>
    </row>
    <row r="36" spans="1:20">
      <c r="Q36" s="130"/>
    </row>
    <row r="37" spans="1:20" s="35" customFormat="1" ht="24"/>
    <row r="38" spans="1:20">
      <c r="A38" s="17"/>
      <c r="C38" s="86"/>
      <c r="D38" s="86"/>
      <c r="E38" s="86"/>
      <c r="F38" s="86"/>
      <c r="G38" s="86"/>
      <c r="H38" s="86"/>
      <c r="I38" s="102"/>
      <c r="J38" s="86"/>
      <c r="K38" s="102"/>
      <c r="L38" s="86"/>
      <c r="M38" s="86"/>
      <c r="N38" s="86"/>
      <c r="O38" s="86"/>
      <c r="P38" s="86"/>
      <c r="Q38" s="102"/>
    </row>
    <row r="39" spans="1:20">
      <c r="A39" s="81"/>
      <c r="C39" s="17"/>
      <c r="D39" s="17"/>
      <c r="E39" s="133"/>
      <c r="F39" s="17"/>
      <c r="G39" s="133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20" s="35" customFormat="1" ht="24">
      <c r="I40" s="28"/>
      <c r="J40" s="37"/>
      <c r="K40" s="37"/>
      <c r="L40" s="37"/>
      <c r="M40" s="37"/>
      <c r="N40" s="37"/>
      <c r="O40" s="37"/>
      <c r="P40" s="37"/>
      <c r="Q40" s="28"/>
    </row>
    <row r="41" spans="1:20" s="35" customFormat="1" ht="24">
      <c r="I41" s="17"/>
      <c r="Q41" s="17"/>
    </row>
    <row r="42" spans="1:20" s="35" customFormat="1" ht="24">
      <c r="I42" s="28"/>
      <c r="Q42" s="28"/>
    </row>
    <row r="43" spans="1:20" s="35" customFormat="1" ht="24"/>
    <row r="44" spans="1:20" s="35" customFormat="1" ht="24"/>
    <row r="45" spans="1:20" s="35" customFormat="1" ht="24"/>
    <row r="46" spans="1:20" s="35" customFormat="1" ht="24"/>
    <row r="47" spans="1:20" s="35" customFormat="1" ht="24"/>
    <row r="48" spans="1:20" s="35" customFormat="1" ht="24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35:Q35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X39"/>
  <sheetViews>
    <sheetView rightToLeft="1" view="pageBreakPreview" topLeftCell="A7" zoomScale="60" zoomScaleNormal="100" workbookViewId="0">
      <selection activeCell="W16" sqref="W16"/>
    </sheetView>
  </sheetViews>
  <sheetFormatPr defaultColWidth="9.140625" defaultRowHeight="15"/>
  <cols>
    <col min="1" max="1" width="50" style="134" customWidth="1"/>
    <col min="2" max="2" width="1.28515625" style="134" customWidth="1"/>
    <col min="3" max="3" width="26.5703125" style="42" customWidth="1"/>
    <col min="4" max="4" width="1" style="134" customWidth="1"/>
    <col min="5" max="5" width="28.42578125" style="43" customWidth="1"/>
    <col min="6" max="6" width="1.42578125" style="43" customWidth="1"/>
    <col min="7" max="7" width="26.5703125" style="43" customWidth="1"/>
    <col min="8" max="8" width="1" style="148" customWidth="1"/>
    <col min="9" max="9" width="28.42578125" style="148" customWidth="1"/>
    <col min="10" max="10" width="2" style="148" customWidth="1"/>
    <col min="11" max="11" width="28.5703125" style="149" customWidth="1"/>
    <col min="12" max="12" width="1.5703125" style="134" customWidth="1"/>
    <col min="13" max="13" width="28.42578125" style="42" bestFit="1" customWidth="1"/>
    <col min="14" max="14" width="0.85546875" style="42" customWidth="1"/>
    <col min="15" max="15" width="28.42578125" style="43" bestFit="1" customWidth="1"/>
    <col min="16" max="16" width="0.85546875" style="43" customWidth="1"/>
    <col min="17" max="17" width="28.42578125" style="43" bestFit="1" customWidth="1"/>
    <col min="18" max="18" width="0.85546875" style="43" customWidth="1"/>
    <col min="19" max="19" width="27.140625" style="43" customWidth="1"/>
    <col min="20" max="20" width="1.42578125" style="43" customWidth="1"/>
    <col min="21" max="21" width="29.85546875" style="149" customWidth="1"/>
    <col min="22" max="22" width="9.140625" style="134"/>
    <col min="23" max="23" width="22.42578125" style="134" bestFit="1" customWidth="1"/>
    <col min="24" max="24" width="9.140625" style="134"/>
    <col min="25" max="25" width="18.85546875" style="134" bestFit="1" customWidth="1"/>
    <col min="26" max="16384" width="9.140625" style="134"/>
  </cols>
  <sheetData>
    <row r="1" spans="1:24" ht="27.75">
      <c r="A1" s="281" t="s">
        <v>94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</row>
    <row r="2" spans="1:24" ht="27.75">
      <c r="A2" s="281" t="s">
        <v>57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</row>
    <row r="3" spans="1:24" ht="27.75">
      <c r="A3" s="281" t="str">
        <f>' سهام'!A3:W3</f>
        <v>برای ماه منتهی به 1402/09/30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</row>
    <row r="5" spans="1:24" s="135" customFormat="1" ht="24.75">
      <c r="A5" s="240" t="s">
        <v>28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</row>
    <row r="6" spans="1:24" s="135" customFormat="1" ht="9.75" customHeight="1">
      <c r="C6" s="35"/>
      <c r="E6" s="38"/>
      <c r="F6" s="38"/>
      <c r="G6" s="38"/>
      <c r="H6" s="136"/>
      <c r="I6" s="136"/>
      <c r="J6" s="136"/>
      <c r="K6" s="137"/>
      <c r="M6" s="35"/>
      <c r="N6" s="35"/>
      <c r="O6" s="38"/>
      <c r="P6" s="38"/>
      <c r="Q6" s="38"/>
      <c r="R6" s="38"/>
      <c r="S6" s="38"/>
      <c r="T6" s="38"/>
      <c r="U6" s="137"/>
    </row>
    <row r="7" spans="1:24" s="135" customFormat="1" ht="27" customHeight="1" thickBot="1">
      <c r="A7" s="138"/>
      <c r="B7" s="139"/>
      <c r="C7" s="281" t="str" cm="1">
        <f t="array" ref="C7:G7">'سود اوراق بهادار و سپرده بانکی'!H5:L5</f>
        <v>طی آذر ماه</v>
      </c>
      <c r="D7" s="281">
        <v>0</v>
      </c>
      <c r="E7" s="281">
        <v>0</v>
      </c>
      <c r="F7" s="281">
        <v>0</v>
      </c>
      <c r="G7" s="281">
        <v>0</v>
      </c>
      <c r="H7" s="281"/>
      <c r="I7" s="281"/>
      <c r="J7" s="281"/>
      <c r="K7" s="281"/>
      <c r="L7" s="139"/>
      <c r="M7" s="281" t="str" cm="1">
        <f t="array" ref="M7:Q7">'سود اوراق بهادار و سپرده بانکی'!N5:R5</f>
        <v>از ابتدای سال مالی تا پایان آذر ماه</v>
      </c>
      <c r="N7" s="281">
        <v>0</v>
      </c>
      <c r="O7" s="281">
        <v>0</v>
      </c>
      <c r="P7" s="281">
        <v>0</v>
      </c>
      <c r="Q7" s="281">
        <v>0</v>
      </c>
      <c r="R7" s="281"/>
      <c r="S7" s="281"/>
      <c r="T7" s="281"/>
      <c r="U7" s="281"/>
    </row>
    <row r="8" spans="1:24" s="115" customFormat="1" ht="24.75" customHeight="1">
      <c r="A8" s="296" t="s">
        <v>24</v>
      </c>
      <c r="B8" s="296"/>
      <c r="C8" s="282" t="s">
        <v>12</v>
      </c>
      <c r="D8" s="298"/>
      <c r="E8" s="284" t="s">
        <v>13</v>
      </c>
      <c r="F8" s="291"/>
      <c r="G8" s="284" t="s">
        <v>14</v>
      </c>
      <c r="H8" s="294"/>
      <c r="I8" s="286" t="s">
        <v>2</v>
      </c>
      <c r="J8" s="286"/>
      <c r="K8" s="286"/>
      <c r="L8" s="296"/>
      <c r="M8" s="282" t="s">
        <v>12</v>
      </c>
      <c r="N8" s="288"/>
      <c r="O8" s="284" t="s">
        <v>13</v>
      </c>
      <c r="P8" s="291"/>
      <c r="Q8" s="284" t="s">
        <v>14</v>
      </c>
      <c r="R8" s="291"/>
      <c r="S8" s="286" t="s">
        <v>2</v>
      </c>
      <c r="T8" s="286"/>
      <c r="U8" s="286"/>
    </row>
    <row r="9" spans="1:24" s="115" customFormat="1" ht="6" customHeight="1" thickBot="1">
      <c r="A9" s="296"/>
      <c r="B9" s="296"/>
      <c r="C9" s="283"/>
      <c r="D9" s="296"/>
      <c r="E9" s="285"/>
      <c r="F9" s="292"/>
      <c r="G9" s="285"/>
      <c r="H9" s="295"/>
      <c r="I9" s="287"/>
      <c r="J9" s="287"/>
      <c r="K9" s="287"/>
      <c r="L9" s="296"/>
      <c r="M9" s="283"/>
      <c r="N9" s="289"/>
      <c r="O9" s="285"/>
      <c r="P9" s="292"/>
      <c r="Q9" s="285"/>
      <c r="R9" s="292"/>
      <c r="S9" s="287"/>
      <c r="T9" s="287"/>
      <c r="U9" s="287"/>
    </row>
    <row r="10" spans="1:24" s="115" customFormat="1" ht="42.75" customHeight="1" thickBot="1">
      <c r="A10" s="297"/>
      <c r="B10" s="296"/>
      <c r="C10" s="39" t="s">
        <v>61</v>
      </c>
      <c r="D10" s="296"/>
      <c r="E10" s="40" t="s">
        <v>62</v>
      </c>
      <c r="F10" s="293"/>
      <c r="G10" s="40" t="s">
        <v>63</v>
      </c>
      <c r="H10" s="295"/>
      <c r="I10" s="140" t="s">
        <v>6</v>
      </c>
      <c r="J10" s="140"/>
      <c r="K10" s="141" t="s">
        <v>19</v>
      </c>
      <c r="L10" s="296"/>
      <c r="M10" s="39" t="s">
        <v>61</v>
      </c>
      <c r="N10" s="290"/>
      <c r="O10" s="40" t="s">
        <v>62</v>
      </c>
      <c r="P10" s="293"/>
      <c r="Q10" s="40" t="s">
        <v>63</v>
      </c>
      <c r="R10" s="293"/>
      <c r="S10" s="41" t="s">
        <v>6</v>
      </c>
      <c r="T10" s="41"/>
      <c r="U10" s="141" t="s">
        <v>19</v>
      </c>
    </row>
    <row r="11" spans="1:24" s="62" customFormat="1" ht="30.75">
      <c r="A11" s="142" t="s">
        <v>127</v>
      </c>
      <c r="C11" s="4">
        <v>0</v>
      </c>
      <c r="D11" s="4"/>
      <c r="E11" s="4">
        <f>VLOOKUP(A11,'درآمد ناشی از تغییر قیمت  '!$A$7:$Q$30,9,0)</f>
        <v>-57775328</v>
      </c>
      <c r="F11" s="4"/>
      <c r="G11" s="4">
        <v>0</v>
      </c>
      <c r="H11" s="4"/>
      <c r="I11" s="4">
        <f>G11+E11+C11</f>
        <v>-57775328</v>
      </c>
      <c r="K11" s="58">
        <f>I11/25600400069</f>
        <v>-2.2568134812065385E-3</v>
      </c>
      <c r="M11" s="4">
        <v>0</v>
      </c>
      <c r="N11" s="4"/>
      <c r="O11" s="4">
        <f>VLOOKUP(A11,'درآمد ناشی از تغییر قیمت  '!$A$7:$Q$30,17,0)</f>
        <v>-57775328</v>
      </c>
      <c r="P11" s="4"/>
      <c r="Q11" s="4">
        <v>0</v>
      </c>
      <c r="R11" s="4"/>
      <c r="S11" s="4">
        <f>Q11+O11+M11</f>
        <v>-57775328</v>
      </c>
      <c r="T11" s="67"/>
      <c r="U11" s="59">
        <f>S11/درآمدها!$J$4</f>
        <v>-1.9052084583728176E-3</v>
      </c>
      <c r="V11" s="68"/>
      <c r="W11" s="68"/>
      <c r="X11" s="68"/>
    </row>
    <row r="12" spans="1:24" s="62" customFormat="1" ht="30.75">
      <c r="A12" s="142" t="s">
        <v>102</v>
      </c>
      <c r="C12" s="4">
        <v>0</v>
      </c>
      <c r="D12" s="4"/>
      <c r="E12" s="4">
        <f>VLOOKUP(A12,'درآمد ناشی از تغییر قیمت  '!$A$7:$Q$30,9,0)</f>
        <v>95773411</v>
      </c>
      <c r="F12" s="4"/>
      <c r="G12" s="4">
        <f>VLOOKUP(A12,'درآمد ناشی ازفروش'!$A$7:$I$25,9,0)</f>
        <v>-164001350</v>
      </c>
      <c r="H12" s="4"/>
      <c r="I12" s="4">
        <f t="shared" ref="I12:I27" si="0">G12+E12+C12</f>
        <v>-68227939</v>
      </c>
      <c r="K12" s="58">
        <f t="shared" ref="K12:K30" si="1">I12/25600400069</f>
        <v>-2.6651122176257892E-3</v>
      </c>
      <c r="M12" s="4">
        <v>0</v>
      </c>
      <c r="N12" s="4"/>
      <c r="O12" s="4">
        <f>VLOOKUP(A12,'درآمد ناشی از تغییر قیمت  '!$A$7:$Q$30,17,0)</f>
        <v>-366353242</v>
      </c>
      <c r="P12" s="4"/>
      <c r="Q12" s="4">
        <f>VLOOKUP(A12,'درآمد ناشی ازفروش'!$A$7:$Q$26,17,0)</f>
        <v>-165011798</v>
      </c>
      <c r="R12" s="4"/>
      <c r="S12" s="4">
        <f t="shared" ref="S12:S29" si="2">Q12+O12+M12</f>
        <v>-531365040</v>
      </c>
      <c r="T12" s="67"/>
      <c r="U12" s="59">
        <f>S12/درآمدها!$J$4</f>
        <v>-1.7522378560821162E-2</v>
      </c>
      <c r="V12" s="68"/>
      <c r="W12" s="68"/>
      <c r="X12" s="68"/>
    </row>
    <row r="13" spans="1:24" s="62" customFormat="1" ht="61.5">
      <c r="A13" s="142" t="s">
        <v>110</v>
      </c>
      <c r="C13" s="4">
        <v>0</v>
      </c>
      <c r="D13" s="4"/>
      <c r="E13" s="4">
        <f>VLOOKUP(A13,'درآمد ناشی از تغییر قیمت  '!$A$7:$Q$30,9,0)</f>
        <v>-15697800</v>
      </c>
      <c r="F13" s="4"/>
      <c r="G13" s="4">
        <f>VLOOKUP(A13,'درآمد ناشی ازفروش'!$A$7:$I$25,9,0)</f>
        <v>236870222</v>
      </c>
      <c r="H13" s="4"/>
      <c r="I13" s="4">
        <f t="shared" si="0"/>
        <v>221172422</v>
      </c>
      <c r="K13" s="58">
        <f t="shared" si="1"/>
        <v>8.6394127202653291E-3</v>
      </c>
      <c r="M13" s="4">
        <v>0</v>
      </c>
      <c r="N13" s="4"/>
      <c r="O13" s="4">
        <f>VLOOKUP(A13,'درآمد ناشی از تغییر قیمت  '!$A$7:$Q$30,17,0)</f>
        <v>0</v>
      </c>
      <c r="P13" s="4"/>
      <c r="Q13" s="4">
        <f>VLOOKUP(A13,'درآمد ناشی ازفروش'!$A$7:$Q$26,17,0)</f>
        <v>235633818</v>
      </c>
      <c r="R13" s="4"/>
      <c r="S13" s="4">
        <f t="shared" si="2"/>
        <v>235633818</v>
      </c>
      <c r="T13" s="67"/>
      <c r="U13" s="59">
        <f>S13/درآمدها!$J$4</f>
        <v>7.7702984764064179E-3</v>
      </c>
      <c r="V13" s="68"/>
      <c r="W13" s="68"/>
      <c r="X13" s="68"/>
    </row>
    <row r="14" spans="1:24" s="62" customFormat="1" ht="30.75">
      <c r="A14" s="142" t="s">
        <v>112</v>
      </c>
      <c r="C14" s="4">
        <v>0</v>
      </c>
      <c r="D14" s="4"/>
      <c r="E14" s="4">
        <f>VLOOKUP(A14,'درآمد ناشی از تغییر قیمت  '!$A$7:$Q$30,9,0)</f>
        <v>132843759</v>
      </c>
      <c r="F14" s="4"/>
      <c r="G14" s="4">
        <f>VLOOKUP(A14,'درآمد ناشی ازفروش'!$A$7:$I$25,9,0)</f>
        <v>180071562</v>
      </c>
      <c r="H14" s="4"/>
      <c r="I14" s="4">
        <f t="shared" si="0"/>
        <v>312915321</v>
      </c>
      <c r="K14" s="58">
        <f t="shared" si="1"/>
        <v>1.2223063708247082E-2</v>
      </c>
      <c r="M14" s="4">
        <v>0</v>
      </c>
      <c r="N14" s="4"/>
      <c r="O14" s="4">
        <f>VLOOKUP(A14,'درآمد ناشی از تغییر قیمت  '!$A$7:$Q$30,17,0)</f>
        <v>308458925</v>
      </c>
      <c r="P14" s="4"/>
      <c r="Q14" s="4">
        <f>VLOOKUP(A14,'درآمد ناشی ازفروش'!$A$7:$Q$26,17,0)</f>
        <v>180202259</v>
      </c>
      <c r="R14" s="4"/>
      <c r="S14" s="4">
        <f t="shared" si="2"/>
        <v>488661184</v>
      </c>
      <c r="T14" s="67"/>
      <c r="U14" s="59">
        <f>S14/درآمدها!$J$4</f>
        <v>1.611416937408431E-2</v>
      </c>
      <c r="V14" s="68"/>
      <c r="W14" s="68"/>
      <c r="X14" s="68"/>
    </row>
    <row r="15" spans="1:24" s="62" customFormat="1" ht="30.75">
      <c r="A15" s="142" t="s">
        <v>99</v>
      </c>
      <c r="C15" s="4">
        <v>0</v>
      </c>
      <c r="D15" s="4"/>
      <c r="E15" s="4">
        <f>VLOOKUP(A15,'درآمد ناشی از تغییر قیمت  '!$A$7:$Q$30,9,0)</f>
        <v>293988610</v>
      </c>
      <c r="F15" s="4"/>
      <c r="G15" s="4">
        <f>VLOOKUP(A15,'درآمد ناشی ازفروش'!$A$7:$I$25,9,0)</f>
        <v>-105623814</v>
      </c>
      <c r="H15" s="4"/>
      <c r="I15" s="4">
        <f t="shared" si="0"/>
        <v>188364796</v>
      </c>
      <c r="K15" s="58">
        <f t="shared" si="1"/>
        <v>7.3578848569673108E-3</v>
      </c>
      <c r="M15" s="4">
        <v>0</v>
      </c>
      <c r="N15" s="4"/>
      <c r="O15" s="4">
        <f>VLOOKUP(A15,'درآمد ناشی از تغییر قیمت  '!$A$7:$Q$30,17,0)</f>
        <v>-162561647</v>
      </c>
      <c r="P15" s="4"/>
      <c r="Q15" s="4">
        <f>VLOOKUP(A15,'درآمد ناشی ازفروش'!$A$7:$Q$26,17,0)</f>
        <v>-106656857</v>
      </c>
      <c r="R15" s="4"/>
      <c r="S15" s="4">
        <f t="shared" si="2"/>
        <v>-269218504</v>
      </c>
      <c r="T15" s="67"/>
      <c r="U15" s="59">
        <f>S15/درآمدها!$J$4</f>
        <v>-8.877792454441388E-3</v>
      </c>
      <c r="V15" s="68"/>
      <c r="W15" s="68"/>
      <c r="X15" s="68"/>
    </row>
    <row r="16" spans="1:24" s="62" customFormat="1" ht="30.75">
      <c r="A16" s="142" t="s">
        <v>128</v>
      </c>
      <c r="C16" s="4">
        <v>0</v>
      </c>
      <c r="D16" s="4"/>
      <c r="E16" s="4">
        <f>VLOOKUP(A16,'درآمد ناشی از تغییر قیمت  '!$A$7:$Q$30,9,0)</f>
        <v>-2089756078</v>
      </c>
      <c r="F16" s="4"/>
      <c r="G16" s="4">
        <v>0</v>
      </c>
      <c r="H16" s="4"/>
      <c r="I16" s="4">
        <f>G16+E16+C16</f>
        <v>-2089756078</v>
      </c>
      <c r="K16" s="58">
        <f t="shared" si="1"/>
        <v>-8.1629821110902265E-2</v>
      </c>
      <c r="M16" s="4">
        <v>0</v>
      </c>
      <c r="N16" s="4"/>
      <c r="O16" s="4">
        <f>VLOOKUP(A16,'درآمد ناشی از تغییر قیمت  '!$A$7:$Q$30,17,0)</f>
        <v>-2089756078</v>
      </c>
      <c r="P16" s="4"/>
      <c r="Q16" s="4">
        <v>0</v>
      </c>
      <c r="R16" s="4"/>
      <c r="S16" s="4">
        <f t="shared" si="2"/>
        <v>-2089756078</v>
      </c>
      <c r="T16" s="67"/>
      <c r="U16" s="59">
        <f>S16/درآمدها!$J$4</f>
        <v>-6.891213072371663E-2</v>
      </c>
      <c r="V16" s="68"/>
      <c r="W16" s="68"/>
      <c r="X16" s="68"/>
    </row>
    <row r="17" spans="1:24" s="62" customFormat="1" ht="30.75">
      <c r="A17" s="142" t="s">
        <v>101</v>
      </c>
      <c r="C17" s="4">
        <v>0</v>
      </c>
      <c r="D17" s="4"/>
      <c r="E17" s="4">
        <f>VLOOKUP(A17,'درآمد ناشی از تغییر قیمت  '!$A$7:$Q$30,9,0)</f>
        <v>49345537</v>
      </c>
      <c r="F17" s="4"/>
      <c r="G17" s="4">
        <f>VLOOKUP(A17,'درآمد ناشی ازفروش'!$A$7:$I$25,9,0)</f>
        <v>-43471792</v>
      </c>
      <c r="H17" s="4"/>
      <c r="I17" s="4">
        <f t="shared" si="0"/>
        <v>5873745</v>
      </c>
      <c r="K17" s="58">
        <f t="shared" si="1"/>
        <v>2.2943957845067534E-4</v>
      </c>
      <c r="M17" s="4">
        <v>0</v>
      </c>
      <c r="N17" s="4"/>
      <c r="O17" s="4">
        <f>VLOOKUP(A17,'درآمد ناشی از تغییر قیمت  '!$A$7:$Q$30,17,0)</f>
        <v>-68708021</v>
      </c>
      <c r="P17" s="4"/>
      <c r="Q17" s="4">
        <f>VLOOKUP(A17,'درآمد ناشی ازفروش'!$A$7:$Q$26,17,0)</f>
        <v>-45896933</v>
      </c>
      <c r="R17" s="4"/>
      <c r="S17" s="4">
        <f t="shared" si="2"/>
        <v>-114604954</v>
      </c>
      <c r="T17" s="67"/>
      <c r="U17" s="59">
        <f>S17/درآمدها!$J$4</f>
        <v>-3.7792312963109043E-3</v>
      </c>
      <c r="V17" s="68"/>
      <c r="W17" s="68"/>
      <c r="X17" s="68"/>
    </row>
    <row r="18" spans="1:24" s="62" customFormat="1" ht="30.75">
      <c r="A18" s="142" t="s">
        <v>115</v>
      </c>
      <c r="C18" s="4">
        <v>0</v>
      </c>
      <c r="D18" s="4"/>
      <c r="E18" s="4">
        <f>VLOOKUP(A18,'درآمد ناشی از تغییر قیمت  '!$A$7:$Q$30,9,0)</f>
        <v>8429286</v>
      </c>
      <c r="F18" s="4"/>
      <c r="G18" s="4">
        <f>VLOOKUP(A18,'درآمد ناشی ازفروش'!$A$7:$I$25,9,0)</f>
        <v>-7895697</v>
      </c>
      <c r="H18" s="4"/>
      <c r="I18" s="4">
        <f t="shared" si="0"/>
        <v>533589</v>
      </c>
      <c r="K18" s="58">
        <f t="shared" si="1"/>
        <v>2.0842994584531234E-5</v>
      </c>
      <c r="M18" s="4">
        <v>0</v>
      </c>
      <c r="N18" s="4"/>
      <c r="O18" s="4">
        <f>VLOOKUP(A18,'درآمد ناشی از تغییر قیمت  '!$A$7:$Q$30,17,0)</f>
        <v>0</v>
      </c>
      <c r="P18" s="4"/>
      <c r="Q18" s="4">
        <f>VLOOKUP(A18,'درآمد ناشی ازفروش'!$A$7:$Q$26,17,0)</f>
        <v>-7895697</v>
      </c>
      <c r="R18" s="4"/>
      <c r="S18" s="4">
        <f t="shared" si="2"/>
        <v>-7895697</v>
      </c>
      <c r="T18" s="67"/>
      <c r="U18" s="59">
        <f>S18/درآمدها!$J$4</f>
        <v>-2.6036976733648107E-4</v>
      </c>
      <c r="V18" s="68"/>
      <c r="W18" s="68"/>
      <c r="X18" s="68"/>
    </row>
    <row r="19" spans="1:24" s="62" customFormat="1" ht="30.75">
      <c r="A19" s="142" t="s">
        <v>98</v>
      </c>
      <c r="C19" s="4">
        <v>0</v>
      </c>
      <c r="D19" s="4"/>
      <c r="E19" s="4">
        <f>VLOOKUP(A19,'درآمد ناشی از تغییر قیمت  '!$A$7:$Q$30,9,0)</f>
        <v>617994447</v>
      </c>
      <c r="F19" s="4"/>
      <c r="G19" s="4">
        <f>VLOOKUP(A19,'درآمد ناشی ازفروش'!$A$7:$I$25,9,0)</f>
        <v>-3286256</v>
      </c>
      <c r="H19" s="4"/>
      <c r="I19" s="4">
        <f t="shared" si="0"/>
        <v>614708191</v>
      </c>
      <c r="K19" s="58">
        <f t="shared" si="1"/>
        <v>2.4011663463976939E-2</v>
      </c>
      <c r="M19" s="4">
        <v>0</v>
      </c>
      <c r="N19" s="4"/>
      <c r="O19" s="4">
        <f>VLOOKUP(A19,'درآمد ناشی از تغییر قیمت  '!$A$7:$Q$30,17,0)</f>
        <v>512502630</v>
      </c>
      <c r="P19" s="4"/>
      <c r="Q19" s="4">
        <f>VLOOKUP(A19,'درآمد ناشی ازفروش'!$A$7:$Q$26,17,0)</f>
        <v>-3558509</v>
      </c>
      <c r="R19" s="4"/>
      <c r="S19" s="4">
        <f t="shared" si="2"/>
        <v>508944121</v>
      </c>
      <c r="T19" s="67"/>
      <c r="U19" s="59">
        <f>S19/درآمدها!$J$4</f>
        <v>1.6783022749231623E-2</v>
      </c>
      <c r="V19" s="68"/>
      <c r="W19" s="68"/>
      <c r="X19" s="68"/>
    </row>
    <row r="20" spans="1:24" s="62" customFormat="1" ht="30.75">
      <c r="A20" s="142" t="s">
        <v>96</v>
      </c>
      <c r="C20" s="4">
        <v>0</v>
      </c>
      <c r="D20" s="4"/>
      <c r="E20" s="4">
        <f>VLOOKUP(A20,'درآمد ناشی از تغییر قیمت  '!$A$7:$Q$30,9,0)</f>
        <v>887430732</v>
      </c>
      <c r="F20" s="4"/>
      <c r="G20" s="4">
        <f>VLOOKUP(A20,'درآمد ناشی ازفروش'!$A$7:$I$25,9,0)</f>
        <v>283235751</v>
      </c>
      <c r="H20" s="4"/>
      <c r="I20" s="4">
        <f t="shared" si="0"/>
        <v>1170666483</v>
      </c>
      <c r="K20" s="58">
        <f t="shared" si="1"/>
        <v>4.5728444861984081E-2</v>
      </c>
      <c r="M20" s="4">
        <v>0</v>
      </c>
      <c r="N20" s="4"/>
      <c r="O20" s="4">
        <f>VLOOKUP(A20,'درآمد ناشی از تغییر قیمت  '!$A$7:$Q$30,17,0)</f>
        <v>892672755</v>
      </c>
      <c r="P20" s="4"/>
      <c r="Q20" s="4">
        <f>VLOOKUP(A20,'درآمد ناشی ازفروش'!$A$7:$Q$26,17,0)</f>
        <v>293383417</v>
      </c>
      <c r="R20" s="4"/>
      <c r="S20" s="4">
        <f t="shared" si="2"/>
        <v>1186056172</v>
      </c>
      <c r="T20" s="67"/>
      <c r="U20" s="59">
        <f>S20/درآمدها!$J$4</f>
        <v>3.9111578059750442E-2</v>
      </c>
      <c r="V20" s="68"/>
      <c r="W20" s="68"/>
      <c r="X20" s="68"/>
    </row>
    <row r="21" spans="1:24" s="62" customFormat="1" ht="30.75">
      <c r="A21" s="142" t="s">
        <v>111</v>
      </c>
      <c r="C21" s="4">
        <v>0</v>
      </c>
      <c r="D21" s="4"/>
      <c r="E21" s="4">
        <f>VLOOKUP(A21,'درآمد ناشی از تغییر قیمت  '!$A$7:$Q$30,9,0)</f>
        <v>-22474157</v>
      </c>
      <c r="F21" s="4"/>
      <c r="G21" s="4">
        <f>VLOOKUP(A21,'درآمد ناشی ازفروش'!$A$7:$I$25,9,0)</f>
        <v>231412344</v>
      </c>
      <c r="H21" s="4"/>
      <c r="I21" s="4">
        <f t="shared" si="0"/>
        <v>208938187</v>
      </c>
      <c r="K21" s="58">
        <f t="shared" si="1"/>
        <v>8.1615203839336525E-3</v>
      </c>
      <c r="M21" s="4">
        <v>0</v>
      </c>
      <c r="N21" s="4"/>
      <c r="O21" s="4">
        <f>VLOOKUP(A21,'درآمد ناشی از تغییر قیمت  '!$A$7:$Q$30,17,0)</f>
        <v>267929998</v>
      </c>
      <c r="P21" s="4"/>
      <c r="Q21" s="4">
        <f>VLOOKUP(A21,'درآمد ناشی ازفروش'!$A$7:$Q$26,17,0)</f>
        <v>231395076</v>
      </c>
      <c r="R21" s="4"/>
      <c r="S21" s="4">
        <f t="shared" si="2"/>
        <v>499325074</v>
      </c>
      <c r="T21" s="67"/>
      <c r="U21" s="59">
        <f>S21/درآمدها!$J$4</f>
        <v>1.6465823516613062E-2</v>
      </c>
      <c r="V21" s="68"/>
      <c r="W21" s="68"/>
      <c r="X21" s="68"/>
    </row>
    <row r="22" spans="1:24" s="62" customFormat="1" ht="30.75">
      <c r="A22" s="142" t="s">
        <v>113</v>
      </c>
      <c r="C22" s="4">
        <v>0</v>
      </c>
      <c r="D22" s="4"/>
      <c r="E22" s="4">
        <f>VLOOKUP(A22,'درآمد ناشی از تغییر قیمت  '!$A$7:$Q$30,9,0)</f>
        <v>-83119885</v>
      </c>
      <c r="F22" s="4"/>
      <c r="G22" s="4">
        <f>VLOOKUP(A22,'درآمد ناشی ازفروش'!$A$7:$I$25,9,0)</f>
        <v>94815083</v>
      </c>
      <c r="H22" s="4"/>
      <c r="I22" s="4">
        <f t="shared" si="0"/>
        <v>11695198</v>
      </c>
      <c r="K22" s="58">
        <f t="shared" si="1"/>
        <v>4.5683653257286131E-4</v>
      </c>
      <c r="M22" s="4">
        <v>0</v>
      </c>
      <c r="N22" s="4"/>
      <c r="O22" s="4">
        <f>VLOOKUP(A22,'درآمد ناشی از تغییر قیمت  '!$A$7:$Q$30,17,0)</f>
        <v>0</v>
      </c>
      <c r="P22" s="4"/>
      <c r="Q22" s="4">
        <f>VLOOKUP(A22,'درآمد ناشی ازفروش'!$A$7:$Q$26,17,0)</f>
        <v>94815083</v>
      </c>
      <c r="R22" s="4"/>
      <c r="S22" s="4">
        <f t="shared" si="2"/>
        <v>94815083</v>
      </c>
      <c r="T22" s="67"/>
      <c r="U22" s="59">
        <f>S22/درآمدها!$J$4</f>
        <v>3.1266373444547254E-3</v>
      </c>
      <c r="V22" s="68"/>
      <c r="W22" s="68"/>
      <c r="X22" s="68"/>
    </row>
    <row r="23" spans="1:24" s="62" customFormat="1" ht="30.75">
      <c r="A23" s="142" t="s">
        <v>108</v>
      </c>
      <c r="C23" s="4">
        <v>0</v>
      </c>
      <c r="D23" s="4"/>
      <c r="E23" s="4">
        <f>VLOOKUP(A23,'درآمد ناشی از تغییر قیمت  '!$A$7:$Q$30,9,0)</f>
        <v>36062319</v>
      </c>
      <c r="F23" s="4"/>
      <c r="G23" s="4">
        <f>VLOOKUP(A23,'درآمد ناشی ازفروش'!$A$7:$I$25,9,0)</f>
        <v>64118970</v>
      </c>
      <c r="H23" s="4"/>
      <c r="I23" s="4">
        <f t="shared" si="0"/>
        <v>100181289</v>
      </c>
      <c r="K23" s="58">
        <f t="shared" si="1"/>
        <v>3.9132704461642921E-3</v>
      </c>
      <c r="M23" s="4">
        <v>0</v>
      </c>
      <c r="N23" s="4"/>
      <c r="O23" s="4">
        <f>VLOOKUP(A23,'درآمد ناشی از تغییر قیمت  '!$A$7:$Q$30,17,0)</f>
        <v>109347821</v>
      </c>
      <c r="P23" s="4"/>
      <c r="Q23" s="4">
        <f>VLOOKUP(A23,'درآمد ناشی ازفروش'!$A$7:$Q$26,17,0)</f>
        <v>64118970</v>
      </c>
      <c r="R23" s="4"/>
      <c r="S23" s="4">
        <f t="shared" si="2"/>
        <v>173466791</v>
      </c>
      <c r="T23" s="67"/>
      <c r="U23" s="59">
        <f>S23/درآمدها!$J$4</f>
        <v>5.7202686492751672E-3</v>
      </c>
      <c r="V23" s="68"/>
      <c r="W23" s="68"/>
      <c r="X23" s="68"/>
    </row>
    <row r="24" spans="1:24" s="62" customFormat="1" ht="30.75">
      <c r="A24" s="142" t="s">
        <v>114</v>
      </c>
      <c r="C24" s="4">
        <v>0</v>
      </c>
      <c r="D24" s="4"/>
      <c r="E24" s="4">
        <f>VLOOKUP(A24,'درآمد ناشی از تغییر قیمت  '!$A$7:$Q$30,9,0)</f>
        <v>88317210</v>
      </c>
      <c r="F24" s="4"/>
      <c r="G24" s="4">
        <f>VLOOKUP(A24,'درآمد ناشی ازفروش'!$A$7:$I$25,9,0)</f>
        <v>60330441</v>
      </c>
      <c r="H24" s="4"/>
      <c r="I24" s="4">
        <f t="shared" si="0"/>
        <v>148647651</v>
      </c>
      <c r="K24" s="58">
        <f t="shared" si="1"/>
        <v>5.8064581256290675E-3</v>
      </c>
      <c r="M24" s="4">
        <v>0</v>
      </c>
      <c r="N24" s="4"/>
      <c r="O24" s="4">
        <f>VLOOKUP(A24,'درآمد ناشی از تغییر قیمت  '!$A$7:$Q$30,17,0)</f>
        <v>142175196</v>
      </c>
      <c r="P24" s="4"/>
      <c r="Q24" s="4">
        <f>VLOOKUP(A24,'درآمد ناشی ازفروش'!$A$7:$Q$26,17,0)</f>
        <v>60170741</v>
      </c>
      <c r="R24" s="4"/>
      <c r="S24" s="4">
        <f t="shared" si="2"/>
        <v>202345937</v>
      </c>
      <c r="T24" s="67"/>
      <c r="U24" s="59">
        <f>S24/درآمدها!$J$4</f>
        <v>6.6725919875309627E-3</v>
      </c>
      <c r="V24" s="68"/>
      <c r="W24" s="68"/>
      <c r="X24" s="68"/>
    </row>
    <row r="25" spans="1:24" s="62" customFormat="1" ht="30.75">
      <c r="A25" s="142" t="s">
        <v>109</v>
      </c>
      <c r="C25" s="4">
        <v>0</v>
      </c>
      <c r="D25" s="4"/>
      <c r="E25" s="4">
        <f>VLOOKUP(A25,'درآمد ناشی از تغییر قیمت  '!$A$7:$Q$30,9,0)</f>
        <v>-2143913727</v>
      </c>
      <c r="F25" s="4"/>
      <c r="G25" s="4">
        <f>VLOOKUP(A25,'درآمد ناشی ازفروش'!$A$7:$I$25,9,0)</f>
        <v>-18</v>
      </c>
      <c r="H25" s="4"/>
      <c r="I25" s="4">
        <f t="shared" si="0"/>
        <v>-2143913745</v>
      </c>
      <c r="K25" s="58">
        <f t="shared" si="1"/>
        <v>-8.3745321917687729E-2</v>
      </c>
      <c r="M25" s="4">
        <v>0</v>
      </c>
      <c r="N25" s="4"/>
      <c r="O25" s="4">
        <f>VLOOKUP(A25,'درآمد ناشی از تغییر قیمت  '!$A$7:$Q$30,17,0)</f>
        <v>22217582135</v>
      </c>
      <c r="P25" s="4"/>
      <c r="Q25" s="4">
        <f>VLOOKUP(A25,'درآمد ناشی ازفروش'!$A$7:$Q$26,17,0)</f>
        <v>3530866505</v>
      </c>
      <c r="R25" s="4"/>
      <c r="S25" s="4">
        <f t="shared" si="2"/>
        <v>25748448640</v>
      </c>
      <c r="T25" s="67"/>
      <c r="U25" s="59">
        <f>S25/درآمدها!$J$4</f>
        <v>0.84908496129881028</v>
      </c>
      <c r="V25" s="68"/>
      <c r="W25" s="68"/>
      <c r="X25" s="68"/>
    </row>
    <row r="26" spans="1:24" s="62" customFormat="1" ht="30.75">
      <c r="A26" s="142" t="s">
        <v>97</v>
      </c>
      <c r="C26" s="4">
        <v>0</v>
      </c>
      <c r="D26" s="4"/>
      <c r="E26" s="4">
        <f>VLOOKUP(A26,'درآمد ناشی از تغییر قیمت  '!$A$7:$Q$30,9,0)</f>
        <v>268696071</v>
      </c>
      <c r="F26" s="4"/>
      <c r="G26" s="4">
        <f>VLOOKUP(A26,'درآمد ناشی ازفروش'!$A$7:$I$25,9,0)</f>
        <v>-221121860</v>
      </c>
      <c r="H26" s="4"/>
      <c r="I26" s="4">
        <f t="shared" si="0"/>
        <v>47574211</v>
      </c>
      <c r="K26" s="58">
        <f t="shared" si="1"/>
        <v>1.8583385756384524E-3</v>
      </c>
      <c r="M26" s="4">
        <v>0</v>
      </c>
      <c r="N26" s="4"/>
      <c r="O26" s="4">
        <f>VLOOKUP(A26,'درآمد ناشی از تغییر قیمت  '!$A$7:$Q$30,17,0)</f>
        <v>-130448245</v>
      </c>
      <c r="P26" s="4"/>
      <c r="Q26" s="4">
        <f>VLOOKUP(A26,'درآمد ناشی ازفروش'!$A$7:$Q$26,17,0)</f>
        <v>-223160918</v>
      </c>
      <c r="R26" s="4"/>
      <c r="S26" s="4">
        <f>Q26+O26+M26</f>
        <v>-353609163</v>
      </c>
      <c r="T26" s="67"/>
      <c r="U26" s="59">
        <f>S26/درآمدها!$J$4</f>
        <v>-1.166067232549043E-2</v>
      </c>
      <c r="V26" s="68"/>
      <c r="W26" s="68"/>
      <c r="X26" s="68"/>
    </row>
    <row r="27" spans="1:24" s="62" customFormat="1" ht="30.75">
      <c r="A27" s="142" t="s">
        <v>95</v>
      </c>
      <c r="C27" s="4">
        <v>0</v>
      </c>
      <c r="D27" s="4"/>
      <c r="E27" s="4">
        <f>VLOOKUP(A27,'درآمد ناشی از تغییر قیمت  '!$A$7:$Q$30,9,0)</f>
        <v>-2310568</v>
      </c>
      <c r="F27" s="4"/>
      <c r="G27" s="4">
        <f>VLOOKUP(A27,'درآمد ناشی ازفروش'!$A$7:$I$25,9,0)</f>
        <v>506497071</v>
      </c>
      <c r="H27" s="4"/>
      <c r="I27" s="4">
        <f t="shared" si="0"/>
        <v>504186503</v>
      </c>
      <c r="K27" s="58">
        <f t="shared" si="1"/>
        <v>1.9694477494143884E-2</v>
      </c>
      <c r="M27" s="4">
        <v>0</v>
      </c>
      <c r="N27" s="4"/>
      <c r="O27" s="4">
        <f>VLOOKUP(A27,'درآمد ناشی از تغییر قیمت  '!$A$7:$Q$30,17,0)</f>
        <v>444106314</v>
      </c>
      <c r="P27" s="4"/>
      <c r="Q27" s="4">
        <f>VLOOKUP(A27,'درآمد ناشی ازفروش'!$A$7:$Q$26,17,0)</f>
        <v>540342776</v>
      </c>
      <c r="R27" s="4"/>
      <c r="S27" s="4">
        <f t="shared" si="2"/>
        <v>984449090</v>
      </c>
      <c r="T27" s="67"/>
      <c r="U27" s="59">
        <f>S27/درآمدها!$J$4</f>
        <v>3.246335067289316E-2</v>
      </c>
      <c r="V27" s="68"/>
      <c r="W27" s="68"/>
      <c r="X27" s="68"/>
    </row>
    <row r="28" spans="1:24" s="62" customFormat="1" ht="30.75">
      <c r="A28" s="142" t="s">
        <v>129</v>
      </c>
      <c r="C28" s="4">
        <v>0</v>
      </c>
      <c r="D28" s="4"/>
      <c r="E28" s="4">
        <f>VLOOKUP(A28,'درآمد ناشی از تغییر قیمت  '!$A$7:$Q$30,9,0)</f>
        <v>517509538</v>
      </c>
      <c r="F28" s="4"/>
      <c r="G28" s="4">
        <f>VLOOKUP(A28,'درآمد ناشی ازفروش'!$A$7:$I$25,9,0)</f>
        <v>0</v>
      </c>
      <c r="H28" s="4"/>
      <c r="I28" s="4">
        <f>G28+E28+C28</f>
        <v>517509538</v>
      </c>
      <c r="K28" s="58">
        <f t="shared" si="1"/>
        <v>2.0214900415820528E-2</v>
      </c>
      <c r="M28" s="4">
        <v>0</v>
      </c>
      <c r="N28" s="4"/>
      <c r="O28" s="4">
        <f>VLOOKUP(A28,'درآمد ناشی از تغییر قیمت  '!$A$7:$Q$30,17,0)</f>
        <v>482424145</v>
      </c>
      <c r="P28" s="4"/>
      <c r="Q28" s="4">
        <f>VLOOKUP(A28,'درآمد ناشی ازفروش'!$A$7:$Q$26,17,0)</f>
        <v>-521426</v>
      </c>
      <c r="R28" s="4"/>
      <c r="S28" s="4">
        <f t="shared" si="2"/>
        <v>481902719</v>
      </c>
      <c r="T28" s="67"/>
      <c r="U28" s="59">
        <f>S28/درآمدها!$J$4</f>
        <v>1.5891301151101368E-2</v>
      </c>
      <c r="V28" s="68"/>
      <c r="W28" s="68"/>
      <c r="X28" s="68"/>
    </row>
    <row r="29" spans="1:24" s="62" customFormat="1" ht="30.75">
      <c r="A29" s="142" t="s">
        <v>100</v>
      </c>
      <c r="C29" s="4">
        <v>0</v>
      </c>
      <c r="D29" s="4"/>
      <c r="E29" s="4">
        <f>VLOOKUP(A29,'درآمد ناشی از تغییر قیمت  '!$A$7:$Q$30,9,0)</f>
        <v>2411497386</v>
      </c>
      <c r="F29" s="4"/>
      <c r="G29" s="4">
        <f>VLOOKUP(A29,'درآمد ناشی ازفروش'!$A$7:$I$25,9,0)</f>
        <v>-20969701</v>
      </c>
      <c r="H29" s="4"/>
      <c r="I29" s="4">
        <f t="shared" ref="I29:I30" si="3">G29+E29+C29</f>
        <v>2390527685</v>
      </c>
      <c r="K29" s="58">
        <f t="shared" si="1"/>
        <v>9.3378528404121877E-2</v>
      </c>
      <c r="M29" s="4">
        <v>0</v>
      </c>
      <c r="N29" s="4"/>
      <c r="O29" s="4">
        <f>VLOOKUP(A29,'درآمد ناشی از تغییر قیمت  '!$A$7:$Q$30,17,0)</f>
        <v>1946820920</v>
      </c>
      <c r="P29" s="4"/>
      <c r="Q29" s="4">
        <f>VLOOKUP(A29,'درآمد ناشی ازفروش'!$A$7:$Q$26,17,0)</f>
        <v>-23286551</v>
      </c>
      <c r="R29" s="4"/>
      <c r="S29" s="4">
        <f t="shared" si="2"/>
        <v>1923534369</v>
      </c>
      <c r="T29" s="67"/>
      <c r="U29" s="59">
        <f>S29/درآمدها!$J$4</f>
        <v>6.3430777057459892E-2</v>
      </c>
      <c r="V29" s="68"/>
      <c r="W29" s="68"/>
      <c r="X29" s="68"/>
    </row>
    <row r="30" spans="1:24" s="62" customFormat="1" ht="30.75">
      <c r="A30" s="142" t="s">
        <v>116</v>
      </c>
      <c r="C30" s="4">
        <v>0</v>
      </c>
      <c r="D30" s="4"/>
      <c r="E30" s="4">
        <f>VLOOKUP(A30,'درآمد ناشی از تغییر قیمت  '!$A$7:$Q$30,9,0)</f>
        <v>1516423275</v>
      </c>
      <c r="F30" s="4"/>
      <c r="G30" s="4">
        <f>VLOOKUP(A30,'درآمد ناشی ازفروش'!$A$7:$I$25,9,0)</f>
        <v>607602345</v>
      </c>
      <c r="H30" s="4"/>
      <c r="I30" s="4">
        <f t="shared" si="3"/>
        <v>2124025620</v>
      </c>
      <c r="K30" s="58">
        <f t="shared" si="1"/>
        <v>8.296845417552759E-2</v>
      </c>
      <c r="M30" s="4">
        <v>0</v>
      </c>
      <c r="N30" s="4"/>
      <c r="O30" s="4">
        <f>VLOOKUP(A30,'درآمد ناشی از تغییر قیمت  '!$A$7:$Q$30,17,0)</f>
        <v>0</v>
      </c>
      <c r="P30" s="4"/>
      <c r="Q30" s="4">
        <f>VLOOKUP(A30,'درآمد ناشی ازفروش'!$A$7:$Q$26,17,0)</f>
        <v>607602345</v>
      </c>
      <c r="R30" s="4"/>
      <c r="S30" s="4">
        <f>Q30+O30+M30</f>
        <v>607602345</v>
      </c>
      <c r="T30" s="67"/>
      <c r="U30" s="59">
        <f>S30/درآمدها!$J$4</f>
        <v>2.0036392126084664E-2</v>
      </c>
      <c r="V30" s="68"/>
      <c r="W30" s="68"/>
      <c r="X30" s="68"/>
    </row>
    <row r="31" spans="1:24" s="143" customFormat="1" ht="25.5" customHeight="1" thickBot="1">
      <c r="C31" s="144">
        <f>SUM(C11:C30)</f>
        <v>0</v>
      </c>
      <c r="D31" s="145">
        <v>0</v>
      </c>
      <c r="E31" s="144">
        <f>SUM(E11:E30)</f>
        <v>2509264038</v>
      </c>
      <c r="F31" s="145">
        <v>0</v>
      </c>
      <c r="G31" s="144">
        <f>SUM(G11:G30)</f>
        <v>1698583301</v>
      </c>
      <c r="H31" s="145">
        <v>0</v>
      </c>
      <c r="I31" s="144">
        <f>SUM(I11:I30)</f>
        <v>4207847339</v>
      </c>
      <c r="J31" s="146">
        <v>0</v>
      </c>
      <c r="K31" s="147">
        <f>SUM(K11:K30)</f>
        <v>0.16436646801060584</v>
      </c>
      <c r="M31" s="144">
        <f>SUM(M11:M30)</f>
        <v>0</v>
      </c>
      <c r="N31" s="4"/>
      <c r="O31" s="144">
        <f>SUM(O11:O30)</f>
        <v>24448418278</v>
      </c>
      <c r="P31" s="4"/>
      <c r="Q31" s="144">
        <f>SUM(Q11:Q30)</f>
        <v>5262542301</v>
      </c>
      <c r="R31" s="4"/>
      <c r="S31" s="144">
        <f>SUM(S11:S30)</f>
        <v>29710960579</v>
      </c>
      <c r="T31" s="146"/>
      <c r="U31" s="147">
        <f>SUM(U11:U30)</f>
        <v>0.97975338887720631</v>
      </c>
    </row>
    <row r="32" spans="1:24" ht="25.5" customHeight="1" thickTop="1">
      <c r="D32" s="4">
        <v>0</v>
      </c>
      <c r="F32" s="4">
        <v>0</v>
      </c>
      <c r="H32" s="4">
        <v>0</v>
      </c>
      <c r="J32" s="67">
        <v>0</v>
      </c>
      <c r="L32" s="62"/>
      <c r="N32" s="4"/>
      <c r="O32" s="148"/>
      <c r="P32" s="4"/>
      <c r="Q32" s="148"/>
      <c r="R32" s="4"/>
      <c r="S32" s="148"/>
      <c r="T32" s="148"/>
    </row>
    <row r="33" spans="4:15" s="44" customFormat="1" ht="33"/>
    <row r="34" spans="4:15" s="44" customFormat="1" ht="33">
      <c r="O34" s="35"/>
    </row>
    <row r="35" spans="4:15" s="44" customFormat="1" ht="33"/>
    <row r="39" spans="4:15" ht="33">
      <c r="D39" s="150"/>
      <c r="E39" s="45"/>
      <c r="F39" s="45"/>
      <c r="G39" s="45"/>
      <c r="H39" s="151"/>
    </row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Q21"/>
  <sheetViews>
    <sheetView rightToLeft="1" view="pageBreakPreview" zoomScaleNormal="100" zoomScaleSheetLayoutView="100" workbookViewId="0">
      <selection activeCell="O26" sqref="O26"/>
    </sheetView>
  </sheetViews>
  <sheetFormatPr defaultColWidth="9.140625" defaultRowHeight="21.75"/>
  <cols>
    <col min="1" max="1" width="32.5703125" style="83" customWidth="1"/>
    <col min="2" max="2" width="0.42578125" style="83" customWidth="1"/>
    <col min="3" max="3" width="17.5703125" style="83" bestFit="1" customWidth="1"/>
    <col min="4" max="4" width="0.7109375" style="83" customWidth="1"/>
    <col min="5" max="5" width="19.5703125" style="83" bestFit="1" customWidth="1"/>
    <col min="6" max="6" width="0.5703125" style="83" customWidth="1"/>
    <col min="7" max="7" width="17.5703125" style="83" bestFit="1" customWidth="1"/>
    <col min="8" max="8" width="0.5703125" style="83" customWidth="1"/>
    <col min="9" max="9" width="19.5703125" style="83" bestFit="1" customWidth="1"/>
    <col min="10" max="10" width="0.42578125" style="83" customWidth="1"/>
    <col min="11" max="11" width="17.5703125" style="83" bestFit="1" customWidth="1"/>
    <col min="12" max="12" width="0.5703125" style="83" customWidth="1"/>
    <col min="13" max="13" width="20.140625" style="83" bestFit="1" customWidth="1"/>
    <col min="14" max="14" width="0.85546875" style="83" customWidth="1"/>
    <col min="15" max="15" width="19.28515625" style="83" bestFit="1" customWidth="1"/>
    <col min="16" max="16" width="0.5703125" style="83" customWidth="1"/>
    <col min="17" max="17" width="20.140625" style="83" bestFit="1" customWidth="1"/>
    <col min="18" max="18" width="9.140625" style="83"/>
    <col min="19" max="19" width="13.7109375" style="83" bestFit="1" customWidth="1"/>
    <col min="20" max="16384" width="9.140625" style="83"/>
  </cols>
  <sheetData>
    <row r="1" spans="1:17" ht="21" customHeight="1">
      <c r="A1" s="270" t="s">
        <v>94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ht="18" customHeight="1">
      <c r="A2" s="270" t="s">
        <v>57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17" ht="19.5" customHeight="1">
      <c r="A3" s="270" t="str">
        <f>' سهام'!A3:W3</f>
        <v>برای ماه منتهی به 1402/09/30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</row>
    <row r="4" spans="1:17">
      <c r="A4" s="257" t="s">
        <v>29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17" ht="4.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17" ht="22.5" customHeight="1" thickBot="1">
      <c r="A6" s="161"/>
      <c r="B6" s="162"/>
      <c r="C6" s="270" t="str" cm="1">
        <f t="array" ref="C6:G6">'سود اوراق بهادار و سپرده بانکی'!H5:L5</f>
        <v>طی آذر ماه</v>
      </c>
      <c r="D6" s="270">
        <v>0</v>
      </c>
      <c r="E6" s="270">
        <v>0</v>
      </c>
      <c r="F6" s="270">
        <v>0</v>
      </c>
      <c r="G6" s="270">
        <v>0</v>
      </c>
      <c r="H6" s="270"/>
      <c r="I6" s="270"/>
      <c r="J6" s="201"/>
      <c r="K6" s="301" t="str" cm="1">
        <f t="array" ref="K6:O6">'سود اوراق بهادار و سپرده بانکی'!N5:R5</f>
        <v>از ابتدای سال مالی تا پایان آذر ماه</v>
      </c>
      <c r="L6" s="301">
        <v>0</v>
      </c>
      <c r="M6" s="301">
        <v>0</v>
      </c>
      <c r="N6" s="301">
        <v>0</v>
      </c>
      <c r="O6" s="301">
        <v>0</v>
      </c>
      <c r="P6" s="301"/>
      <c r="Q6" s="301"/>
    </row>
    <row r="7" spans="1:17" ht="15.75" customHeight="1">
      <c r="A7" s="302"/>
      <c r="B7" s="303"/>
      <c r="C7" s="299" t="s">
        <v>15</v>
      </c>
      <c r="D7" s="299"/>
      <c r="E7" s="299" t="s">
        <v>13</v>
      </c>
      <c r="F7" s="302"/>
      <c r="G7" s="299" t="s">
        <v>14</v>
      </c>
      <c r="H7" s="302"/>
      <c r="I7" s="299" t="s">
        <v>2</v>
      </c>
      <c r="J7" s="200"/>
      <c r="K7" s="299" t="s">
        <v>15</v>
      </c>
      <c r="L7" s="299"/>
      <c r="M7" s="299" t="s">
        <v>13</v>
      </c>
      <c r="N7" s="302"/>
      <c r="O7" s="299" t="s">
        <v>14</v>
      </c>
      <c r="P7" s="302"/>
      <c r="Q7" s="299" t="s">
        <v>2</v>
      </c>
    </row>
    <row r="8" spans="1:17" ht="12" customHeight="1">
      <c r="A8" s="303"/>
      <c r="B8" s="303"/>
      <c r="C8" s="300"/>
      <c r="D8" s="300"/>
      <c r="E8" s="300"/>
      <c r="F8" s="303"/>
      <c r="G8" s="300"/>
      <c r="H8" s="303"/>
      <c r="I8" s="300"/>
      <c r="J8" s="200"/>
      <c r="K8" s="300"/>
      <c r="L8" s="300"/>
      <c r="M8" s="300"/>
      <c r="N8" s="303"/>
      <c r="O8" s="300"/>
      <c r="P8" s="303"/>
      <c r="Q8" s="300"/>
    </row>
    <row r="9" spans="1:17" ht="14.25" customHeight="1" thickBot="1">
      <c r="A9" s="303"/>
      <c r="B9" s="303"/>
      <c r="C9" s="185" t="s">
        <v>67</v>
      </c>
      <c r="D9" s="300"/>
      <c r="E9" s="185" t="s">
        <v>62</v>
      </c>
      <c r="F9" s="303"/>
      <c r="G9" s="185" t="s">
        <v>63</v>
      </c>
      <c r="H9" s="303"/>
      <c r="I9" s="304"/>
      <c r="J9" s="163"/>
      <c r="K9" s="185" t="s">
        <v>67</v>
      </c>
      <c r="L9" s="300"/>
      <c r="M9" s="185" t="s">
        <v>62</v>
      </c>
      <c r="N9" s="303"/>
      <c r="O9" s="185" t="s">
        <v>63</v>
      </c>
      <c r="P9" s="303"/>
      <c r="Q9" s="304"/>
    </row>
    <row r="10" spans="1:17" ht="21" customHeight="1">
      <c r="A10" s="79" t="s">
        <v>130</v>
      </c>
      <c r="B10" s="86"/>
      <c r="C10" s="17">
        <v>0</v>
      </c>
      <c r="D10" s="17"/>
      <c r="E10" s="17">
        <f>VLOOKUP(A10,'درآمد ناشی از تغییر قیمت  '!$A$7:$Q$30,9,0)</f>
        <v>29998322</v>
      </c>
      <c r="F10" s="17"/>
      <c r="G10" s="17">
        <v>0</v>
      </c>
      <c r="H10" s="17"/>
      <c r="I10" s="17">
        <f>C10+E10+G10</f>
        <v>29998322</v>
      </c>
      <c r="J10" s="17"/>
      <c r="K10" s="17">
        <v>0</v>
      </c>
      <c r="L10" s="17"/>
      <c r="M10" s="17">
        <f>VLOOKUP(A10,'درآمد ناشی از تغییر قیمت  '!$A$7:$Q$25,17,0)</f>
        <v>29998322</v>
      </c>
      <c r="N10" s="17"/>
      <c r="O10" s="17">
        <v>0</v>
      </c>
      <c r="P10" s="17"/>
      <c r="Q10" s="17">
        <f>K10+M10+O10</f>
        <v>29998322</v>
      </c>
    </row>
    <row r="11" spans="1:17" ht="21" customHeight="1">
      <c r="A11" s="79" t="s">
        <v>131</v>
      </c>
      <c r="B11" s="86"/>
      <c r="C11" s="17">
        <v>0</v>
      </c>
      <c r="D11" s="17"/>
      <c r="E11" s="17">
        <f>VLOOKUP(A11,'درآمد ناشی از تغییر قیمت  '!$A$7:$Q$30,9,0)</f>
        <v>-2113781</v>
      </c>
      <c r="F11" s="17"/>
      <c r="G11" s="17">
        <v>0</v>
      </c>
      <c r="H11" s="17"/>
      <c r="I11" s="17">
        <f t="shared" ref="I11:I12" si="0">C11+E11+G11</f>
        <v>-2113781</v>
      </c>
      <c r="J11" s="17"/>
      <c r="K11" s="17">
        <v>0</v>
      </c>
      <c r="L11" s="17"/>
      <c r="M11" s="17">
        <f>VLOOKUP(A11,'درآمد ناشی از تغییر قیمت  '!$A$7:$Q$25,17,0)</f>
        <v>-2113781</v>
      </c>
      <c r="N11" s="17"/>
      <c r="O11" s="17">
        <v>0</v>
      </c>
      <c r="P11" s="17"/>
      <c r="Q11" s="17">
        <f t="shared" ref="Q11:Q13" si="1">K11+M11+O11</f>
        <v>-2113781</v>
      </c>
    </row>
    <row r="12" spans="1:17" ht="21" customHeight="1">
      <c r="A12" s="79" t="s">
        <v>118</v>
      </c>
      <c r="B12" s="86"/>
      <c r="C12" s="17">
        <v>0</v>
      </c>
      <c r="D12" s="17"/>
      <c r="E12" s="17">
        <f>VLOOKUP(A12,'درآمد ناشی از تغییر قیمت  '!$A$7:$Q$30,9,0)</f>
        <v>43067545</v>
      </c>
      <c r="F12" s="17"/>
      <c r="G12" s="17">
        <f>VLOOKUP(A12,'درآمد ناشی ازفروش'!$A$7:$I$25,9,0)</f>
        <v>2257397</v>
      </c>
      <c r="H12" s="17"/>
      <c r="I12" s="17">
        <f t="shared" si="0"/>
        <v>45324942</v>
      </c>
      <c r="J12" s="17"/>
      <c r="K12" s="17">
        <v>0</v>
      </c>
      <c r="L12" s="17"/>
      <c r="M12" s="17">
        <f>VLOOKUP(A12,'درآمد ناشی از تغییر قیمت  '!$A$7:$Q$25,17,0)</f>
        <v>32992845</v>
      </c>
      <c r="N12" s="17"/>
      <c r="O12" s="17">
        <f>VLOOKUP(A12,'درآمد ناشی ازفروش'!$A$7:$Q$26,17,0)</f>
        <v>2257397</v>
      </c>
      <c r="P12" s="17"/>
      <c r="Q12" s="17">
        <f t="shared" si="1"/>
        <v>35250242</v>
      </c>
    </row>
    <row r="13" spans="1:17" ht="21" customHeight="1">
      <c r="A13" s="79" t="s">
        <v>132</v>
      </c>
      <c r="B13" s="86"/>
      <c r="C13" s="17">
        <v>0</v>
      </c>
      <c r="D13" s="17"/>
      <c r="E13" s="17">
        <f>VLOOKUP(A13,'درآمد ناشی از تغییر قیمت  '!$A$7:$Q$30,9,0)</f>
        <v>21685127</v>
      </c>
      <c r="F13" s="17"/>
      <c r="G13" s="17">
        <v>0</v>
      </c>
      <c r="H13" s="17"/>
      <c r="I13" s="17">
        <f>C13+E13+G13</f>
        <v>21685127</v>
      </c>
      <c r="J13" s="17"/>
      <c r="K13" s="17">
        <v>0</v>
      </c>
      <c r="L13" s="17"/>
      <c r="M13" s="17">
        <f>VLOOKUP(A13,'درآمد ناشی از تغییر قیمت  '!$A$7:$Q$25,17,0)</f>
        <v>21685127</v>
      </c>
      <c r="N13" s="17"/>
      <c r="O13" s="17">
        <v>0</v>
      </c>
      <c r="P13" s="17"/>
      <c r="Q13" s="17">
        <f t="shared" si="1"/>
        <v>21685127</v>
      </c>
    </row>
    <row r="14" spans="1:17" ht="21" customHeight="1" thickBot="1">
      <c r="A14" s="155" t="s">
        <v>2</v>
      </c>
      <c r="B14" s="156"/>
      <c r="C14" s="186">
        <f>SUM(C10:C13)</f>
        <v>0</v>
      </c>
      <c r="D14" s="187">
        <f t="shared" ref="D14:P14" si="2">SUM(D10:D10)</f>
        <v>0</v>
      </c>
      <c r="E14" s="186">
        <f>SUM(E10:E13)</f>
        <v>92637213</v>
      </c>
      <c r="F14" s="187">
        <f t="shared" si="2"/>
        <v>0</v>
      </c>
      <c r="G14" s="186">
        <f>SUM(G10:G13)</f>
        <v>2257397</v>
      </c>
      <c r="H14" s="187">
        <f t="shared" si="2"/>
        <v>0</v>
      </c>
      <c r="I14" s="186">
        <f>SUM(I10:I13)</f>
        <v>94894610</v>
      </c>
      <c r="J14" s="187">
        <f t="shared" si="2"/>
        <v>0</v>
      </c>
      <c r="K14" s="186">
        <f>SUM(K10:K13)</f>
        <v>0</v>
      </c>
      <c r="L14" s="187">
        <f t="shared" si="2"/>
        <v>0</v>
      </c>
      <c r="M14" s="186">
        <f>SUM(M10:M13)</f>
        <v>82562513</v>
      </c>
      <c r="N14" s="187">
        <f t="shared" si="2"/>
        <v>0</v>
      </c>
      <c r="O14" s="186">
        <f>SUM(O10:O13)</f>
        <v>2257397</v>
      </c>
      <c r="P14" s="187">
        <f t="shared" si="2"/>
        <v>0</v>
      </c>
      <c r="Q14" s="186">
        <f>SUM(Q10:Q13)</f>
        <v>84819910</v>
      </c>
    </row>
    <row r="15" spans="1:17" ht="22.5" thickTop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</row>
    <row r="16" spans="1:17" s="17" customFormat="1"/>
    <row r="17" spans="15:17" s="17" customFormat="1"/>
    <row r="18" spans="15:17" s="17" customFormat="1"/>
    <row r="20" spans="15:17">
      <c r="O20" s="159"/>
      <c r="Q20" s="159"/>
    </row>
    <row r="21" spans="15:17">
      <c r="O21" s="117"/>
      <c r="Q21" s="117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N15"/>
  <sheetViews>
    <sheetView rightToLeft="1" view="pageBreakPreview" zoomScaleNormal="100" zoomScaleSheetLayoutView="100" workbookViewId="0">
      <selection activeCell="I12" sqref="C12:I14"/>
    </sheetView>
  </sheetViews>
  <sheetFormatPr defaultColWidth="9.140625" defaultRowHeight="21.75"/>
  <cols>
    <col min="1" max="1" width="35.85546875" style="83" bestFit="1" customWidth="1"/>
    <col min="2" max="2" width="0.7109375" style="83" customWidth="1"/>
    <col min="3" max="3" width="22.85546875" style="83" customWidth="1"/>
    <col min="4" max="4" width="0.7109375" style="83" customWidth="1"/>
    <col min="5" max="5" width="18.42578125" style="49" customWidth="1"/>
    <col min="6" max="6" width="1.42578125" style="49" customWidth="1"/>
    <col min="7" max="7" width="21.7109375" style="49" customWidth="1"/>
    <col min="8" max="8" width="1.42578125" style="49" customWidth="1"/>
    <col min="9" max="9" width="26.140625" style="49" customWidth="1"/>
    <col min="10" max="10" width="1.28515625" style="83" customWidth="1"/>
    <col min="11" max="11" width="22" style="83" customWidth="1"/>
    <col min="12" max="12" width="0.7109375" style="83" customWidth="1"/>
    <col min="13" max="13" width="9.7109375" style="83" customWidth="1"/>
    <col min="14" max="14" width="15.42578125" style="83" bestFit="1" customWidth="1"/>
    <col min="15" max="16384" width="9.140625" style="83"/>
  </cols>
  <sheetData>
    <row r="1" spans="1:14" ht="22.5">
      <c r="A1" s="270" t="s">
        <v>94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4" ht="22.5">
      <c r="A2" s="270" t="s">
        <v>57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4" ht="22.5">
      <c r="A3" s="270" t="str">
        <f>' سهام'!A3:W3</f>
        <v>برای ماه منتهی به 1402/09/30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</row>
    <row r="4" spans="1:14">
      <c r="A4" s="257" t="s">
        <v>30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4" ht="22.5" thickBot="1">
      <c r="A5" s="73"/>
      <c r="B5" s="73"/>
      <c r="C5" s="73"/>
      <c r="D5" s="72"/>
      <c r="E5" s="11"/>
      <c r="F5" s="11"/>
      <c r="G5" s="11"/>
      <c r="H5" s="11"/>
      <c r="I5" s="11"/>
      <c r="J5" s="73"/>
      <c r="K5" s="73"/>
      <c r="L5" s="73"/>
    </row>
    <row r="6" spans="1:14" ht="37.5" customHeight="1" thickBot="1">
      <c r="A6" s="305" t="s">
        <v>20</v>
      </c>
      <c r="B6" s="305"/>
      <c r="C6" s="305"/>
      <c r="D6" s="201"/>
      <c r="E6" s="306" t="s">
        <v>141</v>
      </c>
      <c r="F6" s="306"/>
      <c r="G6" s="306"/>
      <c r="H6" s="306"/>
      <c r="I6" s="305" t="s">
        <v>142</v>
      </c>
      <c r="J6" s="305"/>
      <c r="K6" s="305"/>
      <c r="L6" s="305"/>
    </row>
    <row r="7" spans="1:14" ht="37.5">
      <c r="A7" s="152" t="s">
        <v>16</v>
      </c>
      <c r="B7" s="201"/>
      <c r="C7" s="152" t="s">
        <v>9</v>
      </c>
      <c r="D7" s="200"/>
      <c r="E7" s="46" t="s">
        <v>17</v>
      </c>
      <c r="F7" s="47"/>
      <c r="G7" s="46" t="s">
        <v>18</v>
      </c>
      <c r="H7" s="48"/>
      <c r="I7" s="46" t="s">
        <v>17</v>
      </c>
      <c r="J7" s="201"/>
      <c r="K7" s="152" t="s">
        <v>18</v>
      </c>
      <c r="L7" s="201"/>
    </row>
    <row r="8" spans="1:14" ht="27" customHeight="1">
      <c r="A8" s="153" t="s">
        <v>103</v>
      </c>
      <c r="B8" s="86"/>
      <c r="C8" s="80" t="s">
        <v>117</v>
      </c>
      <c r="D8" s="86"/>
      <c r="E8" s="13">
        <f>VLOOKUP(A8,'سود اوراق بهادار و سپرده بانکی'!$A$7:$R$8,8,0)</f>
        <v>22562</v>
      </c>
      <c r="F8" s="86"/>
      <c r="G8" s="154">
        <f>E8/$E$10</f>
        <v>0.74951830443159928</v>
      </c>
      <c r="H8" s="86"/>
      <c r="I8" s="13">
        <f>VLOOKUP(A8,'سود اوراق بهادار و سپرده بانکی'!$A$7:$R$8,18,0)</f>
        <v>184474</v>
      </c>
      <c r="J8" s="86"/>
      <c r="K8" s="154">
        <f>I8/$I$10</f>
        <v>0.9244314822053179</v>
      </c>
      <c r="L8" s="201"/>
      <c r="M8" s="117"/>
      <c r="N8" s="117"/>
    </row>
    <row r="9" spans="1:14" ht="27" customHeight="1" thickBot="1">
      <c r="A9" s="153" t="s">
        <v>104</v>
      </c>
      <c r="B9" s="86"/>
      <c r="C9" s="80" t="s">
        <v>105</v>
      </c>
      <c r="D9" s="86"/>
      <c r="E9" s="13">
        <f>VLOOKUP(A9,'سود اوراق بهادار و سپرده بانکی'!$A$7:$R$8,8,0)</f>
        <v>7540</v>
      </c>
      <c r="F9" s="86"/>
      <c r="G9" s="154">
        <f>E9/$E$10</f>
        <v>0.25048169556840078</v>
      </c>
      <c r="H9" s="86"/>
      <c r="I9" s="13">
        <f>VLOOKUP(A9,'سود اوراق بهادار و سپرده بانکی'!$A$7:$R$8,18,0)</f>
        <v>15080</v>
      </c>
      <c r="J9" s="86"/>
      <c r="K9" s="154">
        <f>I9/$I$10</f>
        <v>7.5568517794682141E-2</v>
      </c>
      <c r="L9" s="201"/>
      <c r="M9" s="117"/>
      <c r="N9" s="117"/>
    </row>
    <row r="10" spans="1:14" ht="22.5" thickBot="1">
      <c r="A10" s="155" t="s">
        <v>2</v>
      </c>
      <c r="B10" s="156"/>
      <c r="D10" s="157"/>
      <c r="E10" s="222">
        <f>SUM(E8:E9)</f>
        <v>30102</v>
      </c>
      <c r="F10" s="86"/>
      <c r="G10" s="158">
        <f>SUM(G8:G9)</f>
        <v>1</v>
      </c>
      <c r="H10" s="86"/>
      <c r="I10" s="222">
        <f>SUM(I8:I9)</f>
        <v>199554</v>
      </c>
      <c r="J10" s="86"/>
      <c r="K10" s="158">
        <f>SUM(K8:K9)</f>
        <v>1</v>
      </c>
      <c r="L10" s="201"/>
    </row>
    <row r="11" spans="1:14" ht="22.5" thickTop="1">
      <c r="F11" s="86"/>
      <c r="H11" s="86"/>
      <c r="J11" s="86"/>
    </row>
    <row r="12" spans="1:14">
      <c r="E12" s="159"/>
      <c r="F12" s="83"/>
      <c r="G12" s="83"/>
      <c r="H12" s="83"/>
      <c r="I12" s="159"/>
    </row>
    <row r="13" spans="1:14">
      <c r="E13" s="117"/>
      <c r="F13" s="83"/>
      <c r="G13" s="83"/>
      <c r="H13" s="83"/>
      <c r="I13" s="117"/>
    </row>
    <row r="14" spans="1:14">
      <c r="I14" s="17"/>
    </row>
    <row r="15" spans="1:14">
      <c r="C15" s="117"/>
      <c r="E15" s="17"/>
      <c r="I15" s="17"/>
    </row>
  </sheetData>
  <autoFilter ref="A7:L7" xr:uid="{00000000-0009-0000-0000-00000B000000}">
    <sortState xmlns:xlrd2="http://schemas.microsoft.com/office/spreadsheetml/2017/richdata2" ref="A8:L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K20"/>
  <sheetViews>
    <sheetView rightToLeft="1" view="pageBreakPreview" zoomScaleNormal="100" zoomScaleSheetLayoutView="100" workbookViewId="0">
      <selection activeCell="G13" sqref="A13:G18"/>
    </sheetView>
  </sheetViews>
  <sheetFormatPr defaultColWidth="9.140625" defaultRowHeight="18"/>
  <cols>
    <col min="1" max="1" width="32.42578125" style="72" customWidth="1"/>
    <col min="2" max="2" width="1.42578125" style="72" customWidth="1"/>
    <col min="3" max="3" width="17.7109375" style="72" bestFit="1" customWidth="1"/>
    <col min="4" max="4" width="0.85546875" style="72" customWidth="1"/>
    <col min="5" max="5" width="18.140625" style="72" customWidth="1"/>
    <col min="6" max="6" width="9.140625" style="72"/>
    <col min="7" max="7" width="11.28515625" style="72" bestFit="1" customWidth="1"/>
    <col min="8" max="8" width="10.85546875" style="72" bestFit="1" customWidth="1"/>
    <col min="9" max="9" width="9.140625" style="72"/>
    <col min="10" max="10" width="9.85546875" style="72" bestFit="1" customWidth="1"/>
    <col min="11" max="11" width="11.28515625" style="72" bestFit="1" customWidth="1"/>
    <col min="12" max="16384" width="9.140625" style="72"/>
  </cols>
  <sheetData>
    <row r="1" spans="1:11" s="160" customFormat="1" ht="18.75">
      <c r="A1" s="254" t="s">
        <v>94</v>
      </c>
      <c r="B1" s="254"/>
      <c r="C1" s="254"/>
      <c r="D1" s="254"/>
      <c r="E1" s="254"/>
    </row>
    <row r="2" spans="1:11" s="160" customFormat="1" ht="18.75">
      <c r="A2" s="254" t="s">
        <v>57</v>
      </c>
      <c r="B2" s="254"/>
      <c r="C2" s="254"/>
      <c r="D2" s="254"/>
      <c r="E2" s="254"/>
    </row>
    <row r="3" spans="1:11" s="160" customFormat="1" ht="18.75">
      <c r="A3" s="254" t="str">
        <f>' سهام'!A3:W3</f>
        <v>برای ماه منتهی به 1402/09/30</v>
      </c>
      <c r="B3" s="254"/>
      <c r="C3" s="254"/>
      <c r="D3" s="254"/>
      <c r="E3" s="254"/>
    </row>
    <row r="4" spans="1:11" ht="18.75">
      <c r="A4" s="257" t="s">
        <v>31</v>
      </c>
      <c r="B4" s="257"/>
      <c r="C4" s="257"/>
      <c r="D4" s="257"/>
      <c r="E4" s="257"/>
    </row>
    <row r="5" spans="1:11" ht="49.5" customHeight="1" thickBot="1">
      <c r="A5" s="161"/>
      <c r="B5" s="162"/>
      <c r="C5" s="202" t="s">
        <v>141</v>
      </c>
      <c r="D5" s="201"/>
      <c r="E5" s="202" t="s">
        <v>142</v>
      </c>
    </row>
    <row r="6" spans="1:11" ht="16.5" customHeight="1">
      <c r="A6" s="302"/>
      <c r="B6" s="303"/>
      <c r="C6" s="299" t="s">
        <v>6</v>
      </c>
      <c r="D6" s="200"/>
      <c r="E6" s="299" t="s">
        <v>6</v>
      </c>
    </row>
    <row r="7" spans="1:11" ht="18.75" thickBot="1">
      <c r="A7" s="303"/>
      <c r="B7" s="303"/>
      <c r="C7" s="304"/>
      <c r="D7" s="163"/>
      <c r="E7" s="304"/>
    </row>
    <row r="8" spans="1:11">
      <c r="A8" s="201" t="s">
        <v>32</v>
      </c>
      <c r="B8" s="201"/>
      <c r="C8" s="13">
        <v>0</v>
      </c>
      <c r="D8" s="13"/>
      <c r="E8" s="13">
        <v>18434597</v>
      </c>
      <c r="F8" s="82"/>
      <c r="G8" s="111"/>
      <c r="H8" s="111"/>
      <c r="J8" s="82"/>
      <c r="K8" s="82"/>
    </row>
    <row r="9" spans="1:11">
      <c r="A9" s="201" t="s">
        <v>107</v>
      </c>
      <c r="B9" s="201"/>
      <c r="C9" s="13">
        <v>0</v>
      </c>
      <c r="D9" s="13">
        <v>27449510</v>
      </c>
      <c r="E9" s="13">
        <v>265983</v>
      </c>
      <c r="F9" s="164"/>
      <c r="G9" s="111"/>
      <c r="I9" s="82"/>
      <c r="J9" s="82"/>
    </row>
    <row r="10" spans="1:11">
      <c r="A10" s="201" t="s">
        <v>140</v>
      </c>
      <c r="B10" s="201"/>
      <c r="C10" s="13">
        <v>4415236</v>
      </c>
      <c r="D10" s="13"/>
      <c r="E10" s="13">
        <v>4415236</v>
      </c>
      <c r="F10" s="164"/>
      <c r="G10" s="111"/>
      <c r="I10" s="82"/>
      <c r="J10" s="82"/>
    </row>
    <row r="11" spans="1:11" ht="18.75" thickBot="1">
      <c r="A11" s="165" t="s">
        <v>2</v>
      </c>
      <c r="B11" s="201"/>
      <c r="C11" s="123">
        <f>SUM(C8:C10)</f>
        <v>4415236</v>
      </c>
      <c r="D11" s="13"/>
      <c r="E11" s="123">
        <f>SUM(E8:E10)</f>
        <v>23115816</v>
      </c>
    </row>
    <row r="12" spans="1:11" ht="18.75" thickTop="1">
      <c r="A12" s="201"/>
      <c r="D12" s="13"/>
    </row>
    <row r="13" spans="1:11">
      <c r="C13" s="166"/>
      <c r="E13" s="69"/>
    </row>
    <row r="14" spans="1:11">
      <c r="C14" s="82"/>
      <c r="E14" s="69"/>
    </row>
    <row r="15" spans="1:11">
      <c r="E15" s="69"/>
    </row>
    <row r="16" spans="1:11">
      <c r="C16" s="69"/>
      <c r="E16" s="166"/>
    </row>
    <row r="17" spans="3:5">
      <c r="C17" s="82"/>
      <c r="E17" s="166"/>
    </row>
    <row r="18" spans="3:5">
      <c r="C18" s="69"/>
      <c r="E18" s="82"/>
    </row>
    <row r="20" spans="3:5">
      <c r="C20" s="166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Bakhtiari</cp:lastModifiedBy>
  <cp:lastPrinted>2023-10-25T16:54:14Z</cp:lastPrinted>
  <dcterms:created xsi:type="dcterms:W3CDTF">2017-11-22T14:26:20Z</dcterms:created>
  <dcterms:modified xsi:type="dcterms:W3CDTF">2023-12-31T16:19:36Z</dcterms:modified>
</cp:coreProperties>
</file>