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W:\fund\8 صندوق با تضمین کیان\گزارش ماهانه\8-آبان\"/>
    </mc:Choice>
  </mc:AlternateContent>
  <xr:revisionPtr revIDLastSave="0" documentId="13_ncr:1_{09B5484E-2058-4DAC-8138-184E870973F0}" xr6:coauthVersionLast="47" xr6:coauthVersionMax="47" xr10:uidLastSave="{00000000-0000-0000-0000-000000000000}"/>
  <bookViews>
    <workbookView xWindow="-120" yWindow="-120" windowWidth="29040" windowHeight="15840" tabRatio="877" activeTab="12" xr2:uid="{00000000-000D-0000-FFFF-FFFF00000000}"/>
  </bookViews>
  <sheets>
    <sheet name="روکش" sheetId="16" r:id="rId1"/>
    <sheet name=" سهام" sheetId="1" r:id="rId2"/>
    <sheet name="اوراق" sheetId="17" r:id="rId3"/>
    <sheet name="سپرده" sheetId="2" r:id="rId4"/>
    <sheet name="درآمدها" sheetId="11" r:id="rId5"/>
    <sheet name="سود اوراق بهادار و سپرده بانکی" sheetId="13" r:id="rId6"/>
    <sheet name="درآمد سود سهام" sheetId="18" r:id="rId7"/>
    <sheet name="درآمد ناشی ازفروش" sheetId="15" r:id="rId8"/>
    <sheet name="درآمد ناشی از تغییر قیمت  " sheetId="14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_FilterDatabase" localSheetId="1" hidden="1">' سهام'!$A$9:$W$9</definedName>
    <definedName name="_xlnm._FilterDatabase" localSheetId="11" hidden="1">'درآمد سپرده بانکی'!$A$7:$L$7</definedName>
    <definedName name="_xlnm._FilterDatabase" localSheetId="10" hidden="1">'درآمد سرمایه گذاری در اوراق بها'!$A$9:$Q$9</definedName>
    <definedName name="_xlnm._FilterDatabase" localSheetId="9" hidden="1">'درآمد سرمایه گذاری در سهام '!$A$10:$U$10</definedName>
    <definedName name="_xlnm._FilterDatabase" localSheetId="6" hidden="1">'درآمد سود سهام'!$A$7:$S$7</definedName>
    <definedName name="_xlnm._FilterDatabase" localSheetId="8" hidden="1">'درآمد ناشی از تغییر قیمت  '!$A$6:$Q$6</definedName>
    <definedName name="_xlnm._FilterDatabase" localSheetId="7" hidden="1">'درآمد ناشی ازفروش'!$A$6:$Q$6</definedName>
    <definedName name="_xlnm._FilterDatabase" localSheetId="3" hidden="1">سپرده!$A$8:$S$8</definedName>
    <definedName name="_xlnm._FilterDatabase" localSheetId="5" hidden="1">'سود اوراق بهادار و سپرده بانکی'!$A$6:$R$6</definedName>
    <definedName name="_xlnm.Print_Area" localSheetId="1">' سهام'!$A$1:$W$29</definedName>
    <definedName name="_xlnm.Print_Area" localSheetId="2">اوراق!$A$1:$AG$11</definedName>
    <definedName name="_xlnm.Print_Area" localSheetId="11">'درآمد سپرده بانکی'!$A$1:$L$11</definedName>
    <definedName name="_xlnm.Print_Area" localSheetId="10">'درآمد سرمایه گذاری در اوراق بها'!$A$1:$Q$12</definedName>
    <definedName name="_xlnm.Print_Area" localSheetId="9">'درآمد سرمایه گذاری در سهام '!$A$1:$U$30</definedName>
    <definedName name="_xlnm.Print_Area" localSheetId="6">'درآمد سود سهام'!$A$1:$S$11</definedName>
    <definedName name="_xlnm.Print_Area" localSheetId="8">'درآمد ناشی از تغییر قیمت  '!$A$1:$Q$31</definedName>
    <definedName name="_xlnm.Print_Area" localSheetId="7">'درآمد ناشی ازفروش'!$A$1:$Q$26</definedName>
    <definedName name="_xlnm.Print_Area" localSheetId="4">درآمدها!$A$1:$I$11</definedName>
    <definedName name="_xlnm.Print_Area" localSheetId="0">روکش!$A$1:$J$36</definedName>
    <definedName name="_xlnm.Print_Area" localSheetId="12">'سایر درآمدها'!$A$1:$E$11</definedName>
    <definedName name="_xlnm.Print_Area" localSheetId="3">سپرده!$A$1:$S$13</definedName>
    <definedName name="_xlnm.Print_Area" localSheetId="5">'سود اوراق بهادار و سپرده بانکی'!$A$1:$R$13</definedName>
    <definedName name="_xlnm.Print_Titles" localSheetId="1">' سهام'!$7:$9</definedName>
    <definedName name="_xlnm.Print_Titles" localSheetId="9">'درآمد سرمایه گذاری در سهام '!$7:$10</definedName>
    <definedName name="_xlnm.Print_Titles" localSheetId="8">'درآمد ناشی از تغییر قیمت  '!$5:$6</definedName>
    <definedName name="_xlnm.Print_Titles" localSheetId="7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4" l="1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7" i="14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7" i="15"/>
  <c r="M28" i="1"/>
  <c r="E27" i="5" l="1"/>
  <c r="I12" i="15"/>
  <c r="E10" i="8" l="1"/>
  <c r="C10" i="8"/>
  <c r="M29" i="5"/>
  <c r="C29" i="5"/>
  <c r="O26" i="14"/>
  <c r="G26" i="14"/>
  <c r="E26" i="14"/>
  <c r="Q25" i="14"/>
  <c r="I8" i="14"/>
  <c r="I9" i="14"/>
  <c r="I26" i="14" s="1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7" i="14"/>
  <c r="O21" i="15"/>
  <c r="M21" i="15"/>
  <c r="G21" i="15"/>
  <c r="E21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7" i="15"/>
  <c r="I8" i="15"/>
  <c r="I9" i="15"/>
  <c r="I10" i="15"/>
  <c r="G24" i="5" s="1"/>
  <c r="I11" i="15"/>
  <c r="I13" i="15"/>
  <c r="I14" i="15"/>
  <c r="I15" i="15"/>
  <c r="I16" i="15"/>
  <c r="I17" i="15"/>
  <c r="I18" i="15"/>
  <c r="I19" i="15"/>
  <c r="I20" i="15"/>
  <c r="I7" i="15"/>
  <c r="P11" i="13"/>
  <c r="N11" i="13"/>
  <c r="L11" i="13"/>
  <c r="J11" i="13"/>
  <c r="H11" i="13"/>
  <c r="R8" i="13"/>
  <c r="R9" i="13"/>
  <c r="R10" i="13"/>
  <c r="R7" i="13"/>
  <c r="L8" i="13"/>
  <c r="L9" i="13"/>
  <c r="L10" i="13"/>
  <c r="L7" i="13"/>
  <c r="I8" i="11"/>
  <c r="Q11" i="2"/>
  <c r="O11" i="2"/>
  <c r="M11" i="2"/>
  <c r="K11" i="2"/>
  <c r="U28" i="1"/>
  <c r="S28" i="1"/>
  <c r="J28" i="1"/>
  <c r="G28" i="1"/>
  <c r="E28" i="1"/>
  <c r="I21" i="15" l="1"/>
  <c r="Q21" i="15"/>
  <c r="R11" i="13"/>
  <c r="I9" i="7"/>
  <c r="I8" i="7"/>
  <c r="E8" i="7"/>
  <c r="E9" i="7"/>
  <c r="E16" i="5"/>
  <c r="E12" i="5"/>
  <c r="E13" i="5"/>
  <c r="E14" i="5"/>
  <c r="E15" i="5"/>
  <c r="E17" i="5"/>
  <c r="E18" i="5"/>
  <c r="E19" i="5"/>
  <c r="E21" i="5"/>
  <c r="E22" i="5"/>
  <c r="E23" i="5"/>
  <c r="E24" i="5"/>
  <c r="E25" i="5"/>
  <c r="E26" i="5"/>
  <c r="E28" i="5"/>
  <c r="E11" i="5"/>
  <c r="I21" i="5" l="1"/>
  <c r="K21" i="5" s="1"/>
  <c r="I26" i="5"/>
  <c r="K26" i="5" s="1"/>
  <c r="I22" i="5"/>
  <c r="K22" i="5" s="1"/>
  <c r="I11" i="5"/>
  <c r="K11" i="5" s="1"/>
  <c r="E10" i="7"/>
  <c r="G8" i="7"/>
  <c r="G9" i="7"/>
  <c r="G10" i="7" s="1"/>
  <c r="I10" i="7"/>
  <c r="K9" i="7" s="1"/>
  <c r="M25" i="14"/>
  <c r="M9" i="14"/>
  <c r="M8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7" i="14"/>
  <c r="G23" i="5"/>
  <c r="I23" i="5" s="1"/>
  <c r="K23" i="5" s="1"/>
  <c r="Q19" i="5"/>
  <c r="Q27" i="5"/>
  <c r="Q24" i="5"/>
  <c r="Q14" i="5"/>
  <c r="Q16" i="5"/>
  <c r="Q18" i="5"/>
  <c r="Q25" i="5"/>
  <c r="Q17" i="5"/>
  <c r="Q15" i="5"/>
  <c r="Q13" i="5"/>
  <c r="Q20" i="5"/>
  <c r="Q12" i="5"/>
  <c r="Q23" i="5"/>
  <c r="G19" i="5"/>
  <c r="I19" i="5" s="1"/>
  <c r="K19" i="5" s="1"/>
  <c r="G27" i="5"/>
  <c r="I27" i="5" s="1"/>
  <c r="K27" i="5" s="1"/>
  <c r="I24" i="5"/>
  <c r="K24" i="5" s="1"/>
  <c r="G14" i="5"/>
  <c r="I14" i="5" s="1"/>
  <c r="K14" i="5" s="1"/>
  <c r="G16" i="5"/>
  <c r="I16" i="5" s="1"/>
  <c r="K16" i="5" s="1"/>
  <c r="G18" i="5"/>
  <c r="I18" i="5" s="1"/>
  <c r="K18" i="5" s="1"/>
  <c r="G25" i="5"/>
  <c r="I25" i="5" s="1"/>
  <c r="K25" i="5" s="1"/>
  <c r="G17" i="5"/>
  <c r="I17" i="5" s="1"/>
  <c r="K17" i="5" s="1"/>
  <c r="G15" i="5"/>
  <c r="I15" i="5" s="1"/>
  <c r="K15" i="5" s="1"/>
  <c r="G13" i="5"/>
  <c r="I13" i="5" s="1"/>
  <c r="K13" i="5" s="1"/>
  <c r="G20" i="5"/>
  <c r="G12" i="5"/>
  <c r="W27" i="1"/>
  <c r="Q23" i="14" l="1"/>
  <c r="O27" i="5" s="1"/>
  <c r="Q19" i="14"/>
  <c r="O23" i="5" s="1"/>
  <c r="Q15" i="14"/>
  <c r="O19" i="5" s="1"/>
  <c r="Q11" i="14"/>
  <c r="O15" i="5" s="1"/>
  <c r="Q22" i="14"/>
  <c r="O26" i="5" s="1"/>
  <c r="Q18" i="14"/>
  <c r="O22" i="5" s="1"/>
  <c r="Q14" i="14"/>
  <c r="O18" i="5" s="1"/>
  <c r="Q10" i="14"/>
  <c r="O14" i="5" s="1"/>
  <c r="Q7" i="14"/>
  <c r="M26" i="14"/>
  <c r="Q21" i="14"/>
  <c r="O25" i="5" s="1"/>
  <c r="Q17" i="14"/>
  <c r="O21" i="5" s="1"/>
  <c r="Q13" i="14"/>
  <c r="O17" i="5" s="1"/>
  <c r="Q8" i="14"/>
  <c r="O12" i="5" s="1"/>
  <c r="Q24" i="14"/>
  <c r="O28" i="5" s="1"/>
  <c r="Q20" i="14"/>
  <c r="O24" i="5" s="1"/>
  <c r="Q16" i="14"/>
  <c r="O20" i="5" s="1"/>
  <c r="Q12" i="14"/>
  <c r="O16" i="5" s="1"/>
  <c r="Q9" i="14"/>
  <c r="O13" i="5" s="1"/>
  <c r="S19" i="5"/>
  <c r="U19" i="5" s="1"/>
  <c r="S20" i="5"/>
  <c r="U20" i="5" s="1"/>
  <c r="S27" i="5"/>
  <c r="U27" i="5" s="1"/>
  <c r="I12" i="5"/>
  <c r="K8" i="7"/>
  <c r="K10" i="7"/>
  <c r="Q28" i="5"/>
  <c r="G28" i="5"/>
  <c r="I28" i="5" s="1"/>
  <c r="K28" i="5" s="1"/>
  <c r="E10" i="6"/>
  <c r="I10" i="6" s="1"/>
  <c r="M10" i="6"/>
  <c r="Q10" i="6" s="1"/>
  <c r="S8" i="18"/>
  <c r="W10" i="1"/>
  <c r="S15" i="5" l="1"/>
  <c r="U15" i="5" s="1"/>
  <c r="S25" i="5"/>
  <c r="U25" i="5" s="1"/>
  <c r="S24" i="5"/>
  <c r="U24" i="5" s="1"/>
  <c r="S23" i="5"/>
  <c r="U23" i="5" s="1"/>
  <c r="S13" i="5"/>
  <c r="U13" i="5" s="1"/>
  <c r="S18" i="5"/>
  <c r="U18" i="5" s="1"/>
  <c r="S16" i="5"/>
  <c r="U16" i="5" s="1"/>
  <c r="S21" i="5"/>
  <c r="U21" i="5" s="1"/>
  <c r="S17" i="5"/>
  <c r="U17" i="5" s="1"/>
  <c r="S14" i="5"/>
  <c r="U14" i="5" s="1"/>
  <c r="S26" i="5"/>
  <c r="U26" i="5" s="1"/>
  <c r="Q26" i="14"/>
  <c r="O11" i="5"/>
  <c r="S12" i="5"/>
  <c r="U12" i="5" s="1"/>
  <c r="S22" i="5"/>
  <c r="U22" i="5" s="1"/>
  <c r="S28" i="5"/>
  <c r="U28" i="5" s="1"/>
  <c r="K12" i="5"/>
  <c r="Q29" i="5"/>
  <c r="G29" i="5"/>
  <c r="E10" i="11"/>
  <c r="I10" i="11" s="1"/>
  <c r="E9" i="11"/>
  <c r="E20" i="5"/>
  <c r="S9" i="18"/>
  <c r="Q9" i="18"/>
  <c r="O9" i="18"/>
  <c r="K9" i="18"/>
  <c r="I9" i="18"/>
  <c r="S10" i="2"/>
  <c r="S9" i="2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A3" i="17"/>
  <c r="O29" i="5" l="1"/>
  <c r="S11" i="5"/>
  <c r="U11" i="5" s="1"/>
  <c r="U29" i="5" s="1"/>
  <c r="E29" i="5"/>
  <c r="I20" i="5"/>
  <c r="I9" i="11"/>
  <c r="W28" i="1"/>
  <c r="M9" i="18"/>
  <c r="S29" i="5" l="1"/>
  <c r="E7" i="11" s="1"/>
  <c r="I7" i="11" s="1"/>
  <c r="I11" i="11" s="1"/>
  <c r="K20" i="5"/>
  <c r="K29" i="5" s="1"/>
  <c r="I29" i="5"/>
  <c r="S11" i="2"/>
  <c r="E11" i="11" l="1"/>
  <c r="G8" i="11" s="1"/>
  <c r="Q11" i="6"/>
  <c r="G9" i="11" l="1"/>
  <c r="G10" i="11"/>
  <c r="G7" i="11"/>
  <c r="AG10" i="17"/>
  <c r="G11" i="11" l="1"/>
  <c r="O11" i="6"/>
  <c r="M11" i="6"/>
  <c r="K11" i="6"/>
  <c r="G11" i="6"/>
  <c r="E11" i="6"/>
  <c r="C11" i="6"/>
  <c r="I11" i="6" l="1"/>
  <c r="AE10" i="17"/>
  <c r="AC10" i="17"/>
  <c r="W10" i="17"/>
  <c r="T10" i="17"/>
  <c r="Q11" i="13" l="1"/>
  <c r="J9" i="18"/>
  <c r="L9" i="18"/>
  <c r="N9" i="18"/>
  <c r="R9" i="18"/>
  <c r="O10" i="17" l="1"/>
  <c r="Q10" i="17"/>
  <c r="D11" i="6" l="1"/>
  <c r="F11" i="6"/>
  <c r="H11" i="6"/>
  <c r="J11" i="6"/>
  <c r="L11" i="6"/>
  <c r="N11" i="6"/>
  <c r="P11" i="6"/>
  <c r="A3" i="14" l="1"/>
  <c r="A3" i="8" l="1"/>
  <c r="A3" i="7"/>
  <c r="A3" i="6"/>
  <c r="A3" i="5"/>
  <c r="A3" i="15"/>
  <c r="A3" i="13"/>
  <c r="A3" i="2" l="1"/>
  <c r="A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2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<sst xmlns="http://schemas.openxmlformats.org/spreadsheetml/2006/main" count="322" uniqueCount="135">
  <si>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</si>
  <si>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</si>
  <si>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</si>
  <si>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</si>
  <si>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</si>
  <si>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</si>
  <si>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</si>
  <si>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</si>
  <si>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</si>
  <si>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</si>
  <si>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</si>
  <si>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</si>
  <si>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</si>
  <si>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</si>
  <si>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</si>
  <si>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</si>
  <si>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</si>
  <si>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</si>
  <si>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</si>
  <si>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</si>
  <si>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</si>
  <si>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</si>
  <si>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</si>
  <si>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</si>
  <si>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</si>
  <si>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</si>
  <si>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</si>
  <si>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</si>
  <si>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</si>
  <si>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</si>
  <si>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</si>
  <si>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</si>
  <si>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</si>
  <si>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</si>
  <si>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</si>
  <si>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</si>
  <si>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</si>
  <si>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</si>
  <si>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</si>
  <si>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</si>
  <si>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</si>
  <si>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</si>
  <si>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</si>
  <si>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</si>
  <si>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</si>
  <si>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</si>
  <si>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</si>
  <si>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</si>
  <si>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</si>
  <si>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</si>
  <si>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</si>
  <si>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</si>
  <si>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</si>
  <si>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</si>
  <si>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</si>
  <si>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</si>
  <si>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</si>
  <si>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</si>
  <si>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</si>
  <si>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</si>
  <si>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</si>
  <si>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</si>
  <si>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</si>
  <si>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</si>
  <si>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</si>
  <si>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</si>
  <si>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</si>
  <si>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</si>
  <si>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</si>
  <si>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</si>
  <si>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</si>
  <si>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</si>
  <si>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</si>
  <si>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</si>
  <si>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</si>
  <si>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</si>
  <si>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</si>
  <si>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</si>
  <si>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</si>
  <si>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</si>
  <si>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</si>
  <si>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</si>
  <si>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</si>
  <si>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</si>
  <si>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</si>
  <si>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</si>
  <si>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</si>
  <si>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</si>
  <si>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</si>
  <si>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</si>
  <si>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</si>
  <si>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</si>
  <si>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کوتاه مدت</t>
  </si>
  <si>
    <t>-</t>
  </si>
  <si>
    <t>صندوق سرمایه گذاری با تضمین اصل سرمایه کیان</t>
  </si>
  <si>
    <t>فولاد کاوه جنوب کیش (کاوه)</t>
  </si>
  <si>
    <t>سر. صبا تامین (صبا)</t>
  </si>
  <si>
    <t>سر. غدیر (وغدیر)</t>
  </si>
  <si>
    <t>صنایع پتروشیمی کرمانشاه (کرماشا)</t>
  </si>
  <si>
    <t>سر. صندوق بازنشستگی (وصندوق)</t>
  </si>
  <si>
    <t>پتروشیمی جم (جم)</t>
  </si>
  <si>
    <t>مبین انرژی خلیج فارس (مبین)</t>
  </si>
  <si>
    <t>توسعه معدنی و صنعتی صبانور (کنور)</t>
  </si>
  <si>
    <t>بانک خاورمیانه (وخاور)</t>
  </si>
  <si>
    <t>کوتاه مدت خاورمیانه</t>
  </si>
  <si>
    <t>پاسارگاد209.8100.15644767.1 -کوتاه مدت</t>
  </si>
  <si>
    <t>209.8100.15644767.1</t>
  </si>
  <si>
    <t>درآمد حاصل از سرمایه­گذاری در سهام و حق تقدم سهام و صندوق‌های سرمایه‌گذاری</t>
  </si>
  <si>
    <t>کارمزد ابطال واحدهای سرمایه گذاری</t>
  </si>
  <si>
    <t>سیمان صوفیان (سصوفی)</t>
  </si>
  <si>
    <t>صبا فولاد خلیج فارس (فصبا)</t>
  </si>
  <si>
    <t>بین المللی توسعه صنایع و معادن غدیر (وکغدیر)</t>
  </si>
  <si>
    <t>سیمان آبیک (سآبیک)</t>
  </si>
  <si>
    <t>پتروشیمی تندگویان (شگویا)</t>
  </si>
  <si>
    <t>سیمان خاش (سخاش)</t>
  </si>
  <si>
    <t>سیمان مازندران (سمازن)</t>
  </si>
  <si>
    <t>سپید ماکیان (سپید)</t>
  </si>
  <si>
    <t>مولد نیروگاهی تجارت فارس (بمولد)</t>
  </si>
  <si>
    <t>1005/10/810/707074934</t>
  </si>
  <si>
    <t>1402/07/30</t>
  </si>
  <si>
    <t>اسناد خزانه-م1بودجه01-040326 (اخزا101)</t>
  </si>
  <si>
    <t>بلی</t>
  </si>
  <si>
    <t>1401/02/26</t>
  </si>
  <si>
    <t>1404/03/26</t>
  </si>
  <si>
    <t>1000000.0000</t>
  </si>
  <si>
    <t>692,700</t>
  </si>
  <si>
    <t>1402/08/30</t>
  </si>
  <si>
    <t>1402/08/24</t>
  </si>
  <si>
    <t>منتهی به 1402/08/30</t>
  </si>
  <si>
    <t>برای ماه منتهی به 1402/08/30</t>
  </si>
  <si>
    <t>طی آبان ماه</t>
  </si>
  <si>
    <t>از ابتدای سال مالی تا پایان آبان ماه</t>
  </si>
  <si>
    <t>از ابتدای سال مالی تا پایان آّبان ماه</t>
  </si>
  <si>
    <t> کوتاه مدت پاسارگاد</t>
  </si>
  <si>
    <t>پاسارگاد209.307.15644767.1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</si>
</sst>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(* #,##0.0_);_(* \(#,##0.0\);_(* &quot;-&quot;??_);_(@_)"/>
    <numFmt numFmtId="167" formatCode="_(* #,##0.000_);_(* \(#,##0.000\);_(* &quot;-&quot;??_);_(@_)"/>
    <numFmt numFmtId="168" formatCode="_(* #,##0.000000_);_(* \(#,##0.000000\);_(* &quot;-&quot;??_);_(@_)"/>
  </numFmts>
  <fonts count="5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11"/>
      <color rgb="FFFF0000"/>
      <name val="B Mitra"/>
      <charset val="178"/>
    </font>
    <font>
      <b/>
      <sz val="9"/>
      <color rgb="FF2E2E2E"/>
      <name val="IranSansFaNum"/>
    </font>
    <font>
      <sz val="11"/>
      <color theme="1"/>
      <name val="Tahoma"/>
      <family val="2"/>
    </font>
    <font>
      <b/>
      <sz val="11"/>
      <color rgb="FF2E2E2E"/>
      <name val="IranSansFaNum"/>
    </font>
    <font>
      <sz val="18"/>
      <color theme="1"/>
      <name val="B Mitra"/>
      <charset val="178"/>
    </font>
    <font>
      <sz val="10"/>
      <color rgb="FF3C464A"/>
      <name val="Tahoma"/>
      <family val="2"/>
    </font>
    <font>
      <b/>
      <sz val="9"/>
      <color rgb="FF00A651"/>
      <name val="IranSansFaNum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C5C5C5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D5D5D5"/>
      </left>
      <right/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05">
    <xf numFmtId="0" fontId="0" fillId="0" borderId="0" xfId="0"/>
    <xf numFmtId="0" fontId="14" fillId="0" borderId="0" xfId="0" applyFont="1"/>
    <xf numFmtId="165" fontId="10" fillId="0" borderId="0" xfId="1" applyNumberFormat="1" applyFont="1" applyFill="1"/>
    <xf numFmtId="0" fontId="33" fillId="0" borderId="0" xfId="0" applyFont="1" applyAlignment="1">
      <alignment vertical="center"/>
    </xf>
    <xf numFmtId="164" fontId="6" fillId="0" borderId="0" xfId="1" applyNumberFormat="1" applyFont="1" applyFill="1" applyAlignment="1">
      <alignment vertical="center"/>
    </xf>
    <xf numFmtId="168" fontId="6" fillId="0" borderId="0" xfId="1" applyNumberFormat="1" applyFont="1" applyFill="1" applyAlignment="1">
      <alignment vertical="center"/>
    </xf>
    <xf numFmtId="164" fontId="5" fillId="0" borderId="0" xfId="1" applyNumberFormat="1" applyFont="1" applyFill="1" applyBorder="1" applyAlignment="1">
      <alignment vertical="center" wrapText="1" readingOrder="2"/>
    </xf>
    <xf numFmtId="164" fontId="6" fillId="0" borderId="0" xfId="1" applyNumberFormat="1" applyFont="1" applyFill="1" applyBorder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10" fontId="6" fillId="0" borderId="0" xfId="2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vertical="center" wrapText="1"/>
    </xf>
    <xf numFmtId="164" fontId="20" fillId="0" borderId="1" xfId="1" applyNumberFormat="1" applyFont="1" applyFill="1" applyBorder="1"/>
    <xf numFmtId="164" fontId="18" fillId="0" borderId="1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14" fillId="0" borderId="0" xfId="1" applyNumberFormat="1" applyFont="1" applyFill="1"/>
    <xf numFmtId="164" fontId="14" fillId="0" borderId="0" xfId="1" applyNumberFormat="1" applyFont="1" applyFill="1" applyAlignment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164" fontId="15" fillId="0" borderId="4" xfId="1" applyNumberFormat="1" applyFont="1" applyFill="1" applyBorder="1" applyAlignment="1">
      <alignment horizontal="center" vertical="center" wrapText="1"/>
    </xf>
    <xf numFmtId="164" fontId="20" fillId="0" borderId="0" xfId="1" applyNumberFormat="1" applyFont="1" applyFill="1"/>
    <xf numFmtId="164" fontId="20" fillId="0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164" fontId="42" fillId="0" borderId="0" xfId="1" applyNumberFormat="1" applyFont="1" applyFill="1" applyBorder="1" applyAlignment="1">
      <alignment vertical="center"/>
    </xf>
    <xf numFmtId="164" fontId="42" fillId="0" borderId="0" xfId="1" applyNumberFormat="1" applyFont="1" applyFill="1" applyAlignment="1">
      <alignment vertical="center"/>
    </xf>
    <xf numFmtId="43" fontId="20" fillId="0" borderId="0" xfId="1" applyFont="1" applyFill="1" applyAlignment="1">
      <alignment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165" fontId="22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165" fontId="14" fillId="0" borderId="0" xfId="1" applyNumberFormat="1" applyFont="1" applyFill="1"/>
    <xf numFmtId="165" fontId="15" fillId="0" borderId="0" xfId="1" applyNumberFormat="1" applyFont="1" applyFill="1"/>
    <xf numFmtId="165" fontId="15" fillId="0" borderId="0" xfId="1" applyNumberFormat="1" applyFont="1" applyFill="1" applyAlignment="1">
      <alignment vertical="center"/>
    </xf>
    <xf numFmtId="164" fontId="25" fillId="0" borderId="1" xfId="1" applyNumberFormat="1" applyFont="1" applyFill="1" applyBorder="1" applyAlignment="1">
      <alignment horizontal="center" vertical="center" wrapText="1" readingOrder="2"/>
    </xf>
    <xf numFmtId="165" fontId="25" fillId="0" borderId="1" xfId="1" applyNumberFormat="1" applyFont="1" applyFill="1" applyBorder="1" applyAlignment="1">
      <alignment horizontal="center" vertical="center" wrapText="1" readingOrder="2"/>
    </xf>
    <xf numFmtId="165" fontId="24" fillId="0" borderId="4" xfId="1" applyNumberFormat="1" applyFont="1" applyFill="1" applyBorder="1" applyAlignment="1">
      <alignment horizontal="center" vertical="center" wrapText="1" readingOrder="2"/>
    </xf>
    <xf numFmtId="164" fontId="16" fillId="0" borderId="0" xfId="1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4" fontId="41" fillId="0" borderId="0" xfId="1" applyNumberFormat="1" applyFont="1" applyFill="1" applyAlignment="1">
      <alignment vertical="center"/>
    </xf>
    <xf numFmtId="165" fontId="41" fillId="0" borderId="0" xfId="1" applyNumberFormat="1" applyFont="1" applyFill="1" applyAlignment="1">
      <alignment vertical="center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164" fontId="10" fillId="0" borderId="0" xfId="1" applyNumberFormat="1" applyFont="1" applyFill="1"/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vertical="center" wrapText="1"/>
    </xf>
    <xf numFmtId="164" fontId="22" fillId="0" borderId="0" xfId="1" applyNumberFormat="1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horizontal="center" vertical="center" readingOrder="2"/>
    </xf>
    <xf numFmtId="164" fontId="22" fillId="0" borderId="9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vertical="center"/>
    </xf>
    <xf numFmtId="10" fontId="6" fillId="0" borderId="0" xfId="1" applyNumberFormat="1" applyFont="1" applyFill="1" applyAlignment="1">
      <alignment vertical="center"/>
    </xf>
    <xf numFmtId="9" fontId="6" fillId="0" borderId="0" xfId="1" applyNumberFormat="1" applyFont="1" applyFill="1" applyAlignment="1">
      <alignment vertical="center"/>
    </xf>
    <xf numFmtId="10" fontId="8" fillId="0" borderId="8" xfId="2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 readingOrder="2"/>
    </xf>
    <xf numFmtId="0" fontId="5" fillId="0" borderId="0" xfId="0" applyFont="1" applyFill="1" applyAlignment="1">
      <alignment vertical="center" wrapText="1" readingOrder="2"/>
    </xf>
    <xf numFmtId="0" fontId="6" fillId="0" borderId="0" xfId="0" applyFont="1" applyFill="1" applyAlignment="1">
      <alignment vertical="center" wrapText="1" readingOrder="2"/>
    </xf>
    <xf numFmtId="0" fontId="6" fillId="0" borderId="0" xfId="0" applyFont="1" applyFill="1" applyAlignment="1">
      <alignment horizontal="center" vertical="center" readingOrder="2"/>
    </xf>
    <xf numFmtId="37" fontId="8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3" fontId="44" fillId="0" borderId="0" xfId="0" applyNumberFormat="1" applyFont="1" applyFill="1"/>
    <xf numFmtId="167" fontId="6" fillId="0" borderId="0" xfId="0" applyNumberFormat="1" applyFont="1" applyFill="1" applyAlignment="1">
      <alignment vertical="center"/>
    </xf>
    <xf numFmtId="164" fontId="6" fillId="0" borderId="8" xfId="1" applyNumberFormat="1" applyFont="1" applyFill="1" applyBorder="1" applyAlignment="1">
      <alignment vertical="center"/>
    </xf>
    <xf numFmtId="3" fontId="44" fillId="0" borderId="16" xfId="0" applyNumberFormat="1" applyFont="1" applyFill="1" applyBorder="1" applyAlignment="1">
      <alignment vertical="center"/>
    </xf>
    <xf numFmtId="0" fontId="16" fillId="0" borderId="0" xfId="0" applyFont="1" applyFill="1"/>
    <xf numFmtId="0" fontId="20" fillId="0" borderId="0" xfId="0" applyFont="1" applyFill="1"/>
    <xf numFmtId="0" fontId="20" fillId="0" borderId="1" xfId="0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Alignment="1">
      <alignment vertical="center" wrapText="1" readingOrder="2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Alignment="1">
      <alignment horizontal="center"/>
    </xf>
    <xf numFmtId="0" fontId="20" fillId="0" borderId="1" xfId="0" applyFont="1" applyFill="1" applyBorder="1" applyAlignment="1">
      <alignment vertical="center" wrapText="1" readingOrder="2"/>
    </xf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0" applyNumberFormat="1" applyFont="1" applyFill="1"/>
    <xf numFmtId="0" fontId="10" fillId="0" borderId="0" xfId="0" applyFont="1" applyFill="1"/>
    <xf numFmtId="164" fontId="16" fillId="0" borderId="0" xfId="0" applyNumberFormat="1" applyFont="1" applyFill="1"/>
    <xf numFmtId="0" fontId="35" fillId="0" borderId="0" xfId="0" applyFont="1" applyFill="1" applyAlignment="1">
      <alignment horizontal="center"/>
    </xf>
    <xf numFmtId="0" fontId="14" fillId="0" borderId="0" xfId="0" applyFont="1" applyFill="1"/>
    <xf numFmtId="3" fontId="35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right" vertical="center" readingOrder="2"/>
    </xf>
    <xf numFmtId="0" fontId="19" fillId="0" borderId="0" xfId="0" applyFont="1" applyFill="1" applyAlignment="1">
      <alignment vertical="center" readingOrder="2"/>
    </xf>
    <xf numFmtId="0" fontId="37" fillId="0" borderId="0" xfId="0" applyFont="1" applyFill="1" applyAlignment="1">
      <alignment horizontal="right" vertical="center" readingOrder="2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164" fontId="35" fillId="0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horizontal="right" vertical="center" readingOrder="2"/>
    </xf>
    <xf numFmtId="49" fontId="20" fillId="0" borderId="0" xfId="0" applyNumberFormat="1" applyFont="1" applyFill="1" applyAlignment="1">
      <alignment horizontal="center" vertical="center" readingOrder="2"/>
    </xf>
    <xf numFmtId="164" fontId="18" fillId="0" borderId="0" xfId="1" applyNumberFormat="1" applyFont="1" applyFill="1" applyAlignment="1">
      <alignment horizontal="right" vertical="center" readingOrder="2"/>
    </xf>
    <xf numFmtId="2" fontId="18" fillId="0" borderId="0" xfId="0" applyNumberFormat="1" applyFont="1" applyFill="1" applyAlignment="1">
      <alignment horizontal="center" vertical="center" readingOrder="2"/>
    </xf>
    <xf numFmtId="0" fontId="18" fillId="0" borderId="0" xfId="0" applyFont="1" applyFill="1" applyAlignment="1">
      <alignment horizontal="center" vertical="center" readingOrder="2"/>
    </xf>
    <xf numFmtId="40" fontId="18" fillId="0" borderId="0" xfId="0" applyNumberFormat="1" applyFont="1" applyFill="1" applyAlignment="1">
      <alignment horizontal="center" vertical="center" wrapText="1" readingOrder="2"/>
    </xf>
    <xf numFmtId="164" fontId="14" fillId="0" borderId="0" xfId="0" applyNumberFormat="1" applyFont="1" applyFill="1"/>
    <xf numFmtId="164" fontId="43" fillId="0" borderId="0" xfId="0" applyNumberFormat="1" applyFont="1" applyFill="1"/>
    <xf numFmtId="164" fontId="18" fillId="0" borderId="17" xfId="1" applyNumberFormat="1" applyFont="1" applyFill="1" applyBorder="1" applyAlignment="1">
      <alignment horizontal="right" vertical="center" readingOrder="2"/>
    </xf>
    <xf numFmtId="0" fontId="20" fillId="0" borderId="0" xfId="0" applyFont="1" applyFill="1" applyAlignment="1">
      <alignment horizontal="right" vertical="center"/>
    </xf>
    <xf numFmtId="38" fontId="18" fillId="0" borderId="10" xfId="0" applyNumberFormat="1" applyFont="1" applyFill="1" applyBorder="1" applyAlignment="1">
      <alignment horizontal="right" vertical="center" readingOrder="2"/>
    </xf>
    <xf numFmtId="2" fontId="18" fillId="0" borderId="2" xfId="0" applyNumberFormat="1" applyFont="1" applyFill="1" applyBorder="1" applyAlignment="1">
      <alignment horizontal="center" vertical="center" readingOrder="2"/>
    </xf>
    <xf numFmtId="40" fontId="18" fillId="0" borderId="3" xfId="0" applyNumberFormat="1" applyFont="1" applyFill="1" applyBorder="1" applyAlignment="1">
      <alignment horizontal="center" vertical="center" readingOrder="2"/>
    </xf>
    <xf numFmtId="0" fontId="14" fillId="0" borderId="0" xfId="0" applyFont="1" applyFill="1" applyAlignment="1">
      <alignment horizontal="right" vertical="center"/>
    </xf>
    <xf numFmtId="0" fontId="36" fillId="0" borderId="0" xfId="0" applyFont="1" applyFill="1"/>
    <xf numFmtId="3" fontId="44" fillId="0" borderId="0" xfId="0" applyNumberFormat="1" applyFont="1" applyFill="1" applyAlignment="1">
      <alignment vertical="center"/>
    </xf>
    <xf numFmtId="3" fontId="44" fillId="0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/>
    <xf numFmtId="37" fontId="28" fillId="0" borderId="11" xfId="0" applyNumberFormat="1" applyFont="1" applyFill="1" applyBorder="1" applyAlignment="1">
      <alignment horizontal="center" vertical="center" wrapText="1"/>
    </xf>
    <xf numFmtId="37" fontId="28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3" fontId="14" fillId="0" borderId="0" xfId="0" applyNumberFormat="1" applyFont="1" applyFill="1"/>
    <xf numFmtId="37" fontId="13" fillId="0" borderId="9" xfId="0" applyNumberFormat="1" applyFont="1" applyFill="1" applyBorder="1" applyAlignment="1">
      <alignment horizontal="center" vertical="center"/>
    </xf>
    <xf numFmtId="164" fontId="20" fillId="0" borderId="8" xfId="1" applyNumberFormat="1" applyFont="1" applyFill="1" applyBorder="1" applyAlignment="1">
      <alignment vertical="center"/>
    </xf>
    <xf numFmtId="164" fontId="13" fillId="0" borderId="9" xfId="0" applyNumberFormat="1" applyFont="1" applyFill="1" applyBorder="1" applyAlignment="1">
      <alignment horizontal="center" vertical="center"/>
    </xf>
    <xf numFmtId="164" fontId="13" fillId="0" borderId="8" xfId="1" applyNumberFormat="1" applyFont="1" applyFill="1" applyBorder="1" applyAlignment="1">
      <alignment vertical="center"/>
    </xf>
    <xf numFmtId="37" fontId="13" fillId="0" borderId="1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vertical="center"/>
    </xf>
    <xf numFmtId="2" fontId="10" fillId="0" borderId="0" xfId="0" applyNumberFormat="1" applyFont="1" applyFill="1" applyAlignment="1">
      <alignment vertical="center"/>
    </xf>
    <xf numFmtId="3" fontId="14" fillId="0" borderId="0" xfId="0" applyNumberFormat="1" applyFont="1" applyFill="1"/>
    <xf numFmtId="37" fontId="13" fillId="0" borderId="0" xfId="0" quotePrefix="1" applyNumberFormat="1" applyFont="1" applyFill="1" applyAlignment="1">
      <alignment horizontal="right" vertical="center" wrapText="1"/>
    </xf>
    <xf numFmtId="164" fontId="22" fillId="0" borderId="8" xfId="1" applyNumberFormat="1" applyFont="1" applyFill="1" applyBorder="1" applyAlignment="1">
      <alignment vertical="center"/>
    </xf>
    <xf numFmtId="3" fontId="45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65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0" fontId="24" fillId="0" borderId="0" xfId="0" applyFont="1" applyFill="1" applyAlignment="1">
      <alignment vertical="center" wrapText="1" readingOrder="2"/>
    </xf>
    <xf numFmtId="165" fontId="24" fillId="0" borderId="4" xfId="0" applyNumberFormat="1" applyFont="1" applyFill="1" applyBorder="1" applyAlignment="1">
      <alignment horizontal="center" vertical="center" wrapText="1" readingOrder="2"/>
    </xf>
    <xf numFmtId="0" fontId="24" fillId="0" borderId="4" xfId="0" applyFont="1" applyFill="1" applyBorder="1" applyAlignment="1">
      <alignment horizontal="center" vertical="center" wrapText="1" readingOrder="2"/>
    </xf>
    <xf numFmtId="37" fontId="8" fillId="0" borderId="0" xfId="0" quotePrefix="1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164" fontId="9" fillId="0" borderId="8" xfId="1" applyNumberFormat="1" applyFont="1" applyFill="1" applyBorder="1" applyAlignment="1">
      <alignment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10" fontId="24" fillId="0" borderId="8" xfId="2" applyNumberFormat="1" applyFont="1" applyFill="1" applyBorder="1" applyAlignment="1">
      <alignment horizontal="center" vertical="center" wrapText="1" readingOrder="2"/>
    </xf>
    <xf numFmtId="165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41" fillId="0" borderId="0" xfId="0" applyFont="1" applyFill="1" applyAlignment="1">
      <alignment vertical="center"/>
    </xf>
    <xf numFmtId="165" fontId="41" fillId="0" borderId="0" xfId="0" applyNumberFormat="1" applyFont="1" applyFill="1" applyAlignment="1">
      <alignment vertical="center"/>
    </xf>
    <xf numFmtId="0" fontId="29" fillId="0" borderId="15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37" fontId="32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right" vertical="center" wrapText="1" readingOrder="2"/>
    </xf>
    <xf numFmtId="0" fontId="10" fillId="0" borderId="0" xfId="0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 readingOrder="2"/>
    </xf>
    <xf numFmtId="10" fontId="39" fillId="0" borderId="2" xfId="2" applyNumberFormat="1" applyFont="1" applyFill="1" applyBorder="1" applyAlignment="1">
      <alignment horizontal="center" vertical="center" wrapText="1" readingOrder="2"/>
    </xf>
    <xf numFmtId="3" fontId="10" fillId="0" borderId="0" xfId="0" applyNumberFormat="1" applyFont="1" applyFill="1"/>
    <xf numFmtId="0" fontId="18" fillId="0" borderId="0" xfId="0" applyFont="1" applyFill="1"/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Alignment="1">
      <alignment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3" fontId="46" fillId="0" borderId="0" xfId="0" applyNumberFormat="1" applyFont="1" applyFill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3" fontId="20" fillId="0" borderId="0" xfId="0" applyNumberFormat="1" applyFont="1" applyFill="1"/>
    <xf numFmtId="0" fontId="47" fillId="0" borderId="0" xfId="0" applyFont="1" applyFill="1"/>
    <xf numFmtId="164" fontId="18" fillId="0" borderId="0" xfId="1" applyNumberFormat="1" applyFont="1" applyAlignment="1">
      <alignment vertical="center"/>
    </xf>
    <xf numFmtId="0" fontId="6" fillId="0" borderId="0" xfId="0" applyFont="1" applyFill="1" applyAlignment="1">
      <alignment horizontal="center" vertical="center" wrapText="1" readingOrder="2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37" fontId="28" fillId="0" borderId="11" xfId="0" applyNumberFormat="1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164" fontId="6" fillId="0" borderId="0" xfId="1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vertical="center"/>
    </xf>
    <xf numFmtId="164" fontId="6" fillId="0" borderId="8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readingOrder="2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7" fontId="34" fillId="0" borderId="0" xfId="0" quotePrefix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 readingOrder="2"/>
    </xf>
    <xf numFmtId="10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" fontId="44" fillId="0" borderId="18" xfId="0" applyNumberFormat="1" applyFont="1" applyFill="1" applyBorder="1" applyAlignment="1">
      <alignment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2" xfId="1" applyNumberFormat="1" applyFont="1" applyFill="1" applyBorder="1" applyAlignment="1">
      <alignment vertical="center" readingOrder="2"/>
    </xf>
    <xf numFmtId="164" fontId="20" fillId="0" borderId="2" xfId="1" applyNumberFormat="1" applyFont="1" applyFill="1" applyBorder="1" applyAlignment="1">
      <alignment horizontal="center" vertical="center" readingOrder="2"/>
    </xf>
    <xf numFmtId="3" fontId="48" fillId="0" borderId="0" xfId="0" applyNumberFormat="1" applyFont="1" applyFill="1"/>
    <xf numFmtId="166" fontId="10" fillId="0" borderId="0" xfId="1" applyNumberFormat="1" applyFont="1" applyFill="1" applyAlignment="1">
      <alignment vertical="center"/>
    </xf>
    <xf numFmtId="164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25" fillId="0" borderId="0" xfId="1" applyNumberFormat="1" applyFont="1" applyFill="1" applyBorder="1" applyAlignment="1">
      <alignment horizontal="right" vertical="center" wrapText="1" readingOrder="2"/>
    </xf>
    <xf numFmtId="164" fontId="10" fillId="0" borderId="8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Alignment="1"/>
    <xf numFmtId="0" fontId="10" fillId="0" borderId="0" xfId="0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0" fontId="29" fillId="0" borderId="1" xfId="0" applyFont="1" applyFill="1" applyBorder="1" applyAlignment="1">
      <alignment vertical="center" wrapText="1" readingOrder="2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164" fontId="12" fillId="0" borderId="8" xfId="1" applyNumberFormat="1" applyFont="1" applyFill="1" applyBorder="1" applyAlignment="1">
      <alignment vertical="center"/>
    </xf>
    <xf numFmtId="3" fontId="49" fillId="0" borderId="0" xfId="0" applyNumberFormat="1" applyFont="1" applyFill="1"/>
    <xf numFmtId="0" fontId="3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164" fontId="6" fillId="0" borderId="3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164" fontId="6" fillId="0" borderId="3" xfId="1" applyNumberFormat="1" applyFont="1" applyFill="1" applyBorder="1" applyAlignment="1">
      <alignment horizontal="center" vertical="center" readingOrder="2"/>
    </xf>
    <xf numFmtId="164" fontId="6" fillId="0" borderId="1" xfId="1" applyNumberFormat="1" applyFont="1" applyFill="1" applyBorder="1" applyAlignment="1">
      <alignment horizontal="center" vertical="center" readingOrder="2"/>
    </xf>
    <xf numFmtId="164" fontId="6" fillId="0" borderId="3" xfId="1" applyNumberFormat="1" applyFont="1" applyFill="1" applyBorder="1" applyAlignment="1">
      <alignment horizontal="center" vertical="center" wrapText="1" readingOrder="2"/>
    </xf>
    <xf numFmtId="0" fontId="7" fillId="0" borderId="0" xfId="0" applyFont="1" applyFill="1" applyAlignment="1">
      <alignment horizontal="right" vertical="center" readingOrder="2"/>
    </xf>
    <xf numFmtId="164" fontId="6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 wrapText="1" readingOrder="2"/>
    </xf>
    <xf numFmtId="10" fontId="6" fillId="0" borderId="3" xfId="2" applyNumberFormat="1" applyFont="1" applyFill="1" applyBorder="1" applyAlignment="1">
      <alignment horizontal="center" vertical="center" wrapText="1" readingOrder="2"/>
    </xf>
    <xf numFmtId="10" fontId="6" fillId="0" borderId="1" xfId="2" applyNumberFormat="1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 vertical="center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18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 readingOrder="2"/>
    </xf>
    <xf numFmtId="0" fontId="20" fillId="0" borderId="0" xfId="0" applyFont="1" applyFill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Fill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Fill="1" applyBorder="1" applyAlignment="1">
      <alignment horizontal="center" vertical="center"/>
    </xf>
    <xf numFmtId="0" fontId="14" fillId="0" borderId="12" xfId="0" applyFont="1" applyFill="1" applyBorder="1"/>
    <xf numFmtId="0" fontId="22" fillId="0" borderId="0" xfId="0" applyFont="1" applyFill="1" applyAlignment="1">
      <alignment horizontal="center"/>
    </xf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Fill="1" applyBorder="1" applyAlignment="1">
      <alignment horizontal="center" vertical="center" wrapText="1" readingOrder="2"/>
    </xf>
    <xf numFmtId="164" fontId="24" fillId="0" borderId="0" xfId="1" applyNumberFormat="1" applyFont="1" applyFill="1" applyBorder="1" applyAlignment="1">
      <alignment horizontal="center" vertical="center" wrapText="1" readingOrder="2"/>
    </xf>
    <xf numFmtId="165" fontId="24" fillId="0" borderId="3" xfId="1" applyNumberFormat="1" applyFont="1" applyFill="1" applyBorder="1" applyAlignment="1">
      <alignment horizontal="center" vertical="center" wrapText="1" readingOrder="2"/>
    </xf>
    <xf numFmtId="165" fontId="24" fillId="0" borderId="0" xfId="1" applyNumberFormat="1" applyFont="1" applyFill="1" applyBorder="1" applyAlignment="1">
      <alignment horizontal="center" vertical="center" wrapText="1" readingOrder="2"/>
    </xf>
    <xf numFmtId="0" fontId="24" fillId="0" borderId="3" xfId="0" applyFont="1" applyFill="1" applyBorder="1" applyAlignment="1">
      <alignment horizontal="center" vertical="center" wrapText="1" readingOrder="2"/>
    </xf>
    <xf numFmtId="0" fontId="24" fillId="0" borderId="1" xfId="0" applyFont="1" applyFill="1" applyBorder="1" applyAlignment="1">
      <alignment horizontal="center" vertical="center" wrapText="1" readingOrder="2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165" fontId="15" fillId="0" borderId="3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9" fillId="0" borderId="4" xfId="0" applyFont="1" applyFill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9066</xdr:colOff>
      <xdr:row>4</xdr:row>
      <xdr:rowOff>142875</xdr:rowOff>
    </xdr:from>
    <xdr:to>
      <xdr:col>8</xdr:col>
      <xdr:colOff>579309</xdr:colOff>
      <xdr:row>17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C7B3B1-C69C-4450-A32E-C5A9A55E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30291" y="1019175"/>
          <a:ext cx="4837443" cy="2762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47626</xdr:rowOff>
    </xdr:from>
    <xdr:to>
      <xdr:col>9</xdr:col>
      <xdr:colOff>609599</xdr:colOff>
      <xdr:row>36</xdr:row>
      <xdr:rowOff>188261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C46423-292F-479D-85BE-EFA0C934C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590401" y="47626"/>
          <a:ext cx="6095999" cy="7827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view="pageBreakPreview" topLeftCell="A13" zoomScaleNormal="100" zoomScaleSheetLayoutView="100" workbookViewId="0">
      <selection activeCell="L37" sqref="L37"/>
    </sheetView>
  </sheetViews>
  <sheetFormatPr defaultColWidth="9.140625" defaultRowHeight="17.25"/>
  <cols>
    <col min="1" max="16384" width="9.140625" style="1"/>
  </cols>
  <sheetData>
    <row r="18" spans="1:13">
      <c r="M18" s="1" t="s">
        <v>59</v>
      </c>
    </row>
    <row r="24" spans="1:13" ht="15" customHeight="1">
      <c r="A24" s="222" t="s">
        <v>75</v>
      </c>
      <c r="B24" s="222"/>
      <c r="C24" s="222"/>
      <c r="D24" s="222"/>
      <c r="E24" s="222"/>
      <c r="F24" s="222"/>
      <c r="G24" s="222"/>
      <c r="H24" s="222"/>
      <c r="I24" s="222"/>
      <c r="J24" s="222"/>
      <c r="K24" s="3"/>
      <c r="L24" s="3"/>
    </row>
    <row r="25" spans="1:13" ht="15" customHeight="1">
      <c r="A25" s="222"/>
      <c r="B25" s="222"/>
      <c r="C25" s="222"/>
      <c r="D25" s="222"/>
      <c r="E25" s="222"/>
      <c r="F25" s="222"/>
      <c r="G25" s="222"/>
      <c r="H25" s="222"/>
      <c r="I25" s="222"/>
      <c r="J25" s="222"/>
      <c r="K25" s="3"/>
      <c r="L25" s="3"/>
    </row>
    <row r="26" spans="1:13" ht="15" customHeight="1">
      <c r="A26" s="222"/>
      <c r="B26" s="222"/>
      <c r="C26" s="222"/>
      <c r="D26" s="222"/>
      <c r="E26" s="222"/>
      <c r="F26" s="222"/>
      <c r="G26" s="222"/>
      <c r="H26" s="222"/>
      <c r="I26" s="222"/>
      <c r="J26" s="222"/>
      <c r="K26" s="3"/>
      <c r="L26" s="3"/>
    </row>
    <row r="28" spans="1:13" ht="15" customHeight="1">
      <c r="A28" s="222" t="s">
        <v>128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</row>
    <row r="29" spans="1:13" ht="15" customHeight="1">
      <c r="A29" s="222"/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</row>
    <row r="30" spans="1:13" ht="15" customHeight="1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</row>
    <row r="31" spans="1:13" ht="15" customHeight="1">
      <c r="A31" s="222"/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X37"/>
  <sheetViews>
    <sheetView rightToLeft="1" view="pageBreakPreview" topLeftCell="A4" zoomScale="60" zoomScaleNormal="100" workbookViewId="0">
      <selection activeCell="K31" sqref="K31"/>
    </sheetView>
  </sheetViews>
  <sheetFormatPr defaultColWidth="9.140625" defaultRowHeight="15"/>
  <cols>
    <col min="1" max="1" width="49.85546875" style="139" customWidth="1"/>
    <col min="2" max="2" width="1.28515625" style="139" customWidth="1"/>
    <col min="3" max="3" width="26.5703125" style="42" customWidth="1"/>
    <col min="4" max="4" width="1" style="139" customWidth="1"/>
    <col min="5" max="5" width="28.42578125" style="43" customWidth="1"/>
    <col min="6" max="6" width="1.42578125" style="43" customWidth="1"/>
    <col min="7" max="7" width="26.5703125" style="43" customWidth="1"/>
    <col min="8" max="8" width="1" style="153" customWidth="1"/>
    <col min="9" max="9" width="28.42578125" style="153" customWidth="1"/>
    <col min="10" max="10" width="2" style="153" customWidth="1"/>
    <col min="11" max="11" width="28.5703125" style="154" customWidth="1"/>
    <col min="12" max="12" width="1.5703125" style="139" customWidth="1"/>
    <col min="13" max="13" width="28.42578125" style="42" bestFit="1" customWidth="1"/>
    <col min="14" max="14" width="0.85546875" style="42" customWidth="1"/>
    <col min="15" max="15" width="28.42578125" style="43" bestFit="1" customWidth="1"/>
    <col min="16" max="16" width="0.85546875" style="43" customWidth="1"/>
    <col min="17" max="17" width="28.42578125" style="43" bestFit="1" customWidth="1"/>
    <col min="18" max="18" width="0.85546875" style="43" customWidth="1"/>
    <col min="19" max="19" width="27.140625" style="43" customWidth="1"/>
    <col min="20" max="20" width="1.42578125" style="43" customWidth="1"/>
    <col min="21" max="21" width="29.85546875" style="154" customWidth="1"/>
    <col min="22" max="22" width="9.140625" style="139"/>
    <col min="23" max="23" width="22.42578125" style="139" bestFit="1" customWidth="1"/>
    <col min="24" max="24" width="9.140625" style="139"/>
    <col min="25" max="25" width="18.85546875" style="139" bestFit="1" customWidth="1"/>
    <col min="26" max="16384" width="9.140625" style="139"/>
  </cols>
  <sheetData>
    <row r="1" spans="1:24" ht="27.75">
      <c r="A1" s="280" t="s">
        <v>94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</row>
    <row r="2" spans="1:24" ht="27.75">
      <c r="A2" s="280" t="s">
        <v>57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</row>
    <row r="3" spans="1:24" ht="27.75">
      <c r="A3" s="280" t="str">
        <f>' سهام'!A3:W3</f>
        <v>برای ماه منتهی به 1402/08/30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</row>
    <row r="5" spans="1:24" s="140" customFormat="1" ht="24.75">
      <c r="A5" s="239" t="s">
        <v>28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</row>
    <row r="6" spans="1:24" s="140" customFormat="1" ht="9.75" customHeight="1">
      <c r="C6" s="35"/>
      <c r="E6" s="38"/>
      <c r="F6" s="38"/>
      <c r="G6" s="38"/>
      <c r="H6" s="141"/>
      <c r="I6" s="141"/>
      <c r="J6" s="141"/>
      <c r="K6" s="142"/>
      <c r="M6" s="35"/>
      <c r="N6" s="35"/>
      <c r="O6" s="38"/>
      <c r="P6" s="38"/>
      <c r="Q6" s="38"/>
      <c r="R6" s="38"/>
      <c r="S6" s="38"/>
      <c r="T6" s="38"/>
      <c r="U6" s="142"/>
    </row>
    <row r="7" spans="1:24" s="140" customFormat="1" ht="27" customHeight="1" thickBot="1">
      <c r="A7" s="143"/>
      <c r="B7" s="144"/>
      <c r="C7" s="286" t="s">
        <v>130</v>
      </c>
      <c r="D7" s="286"/>
      <c r="E7" s="286"/>
      <c r="F7" s="286"/>
      <c r="G7" s="286"/>
      <c r="H7" s="286"/>
      <c r="I7" s="286"/>
      <c r="J7" s="286"/>
      <c r="K7" s="286"/>
      <c r="L7" s="144"/>
      <c r="M7" s="286" t="s">
        <v>131</v>
      </c>
      <c r="N7" s="286"/>
      <c r="O7" s="286"/>
      <c r="P7" s="286"/>
      <c r="Q7" s="286"/>
      <c r="R7" s="286"/>
      <c r="S7" s="286"/>
      <c r="T7" s="286"/>
      <c r="U7" s="286"/>
    </row>
    <row r="8" spans="1:24" s="117" customFormat="1" ht="24.75" customHeight="1">
      <c r="A8" s="295" t="s">
        <v>24</v>
      </c>
      <c r="B8" s="295"/>
      <c r="C8" s="281" t="s">
        <v>12</v>
      </c>
      <c r="D8" s="297"/>
      <c r="E8" s="283" t="s">
        <v>13</v>
      </c>
      <c r="F8" s="290"/>
      <c r="G8" s="283" t="s">
        <v>14</v>
      </c>
      <c r="H8" s="293"/>
      <c r="I8" s="285" t="s">
        <v>2</v>
      </c>
      <c r="J8" s="285"/>
      <c r="K8" s="285"/>
      <c r="L8" s="295"/>
      <c r="M8" s="281" t="s">
        <v>12</v>
      </c>
      <c r="N8" s="287"/>
      <c r="O8" s="283" t="s">
        <v>13</v>
      </c>
      <c r="P8" s="290"/>
      <c r="Q8" s="283" t="s">
        <v>14</v>
      </c>
      <c r="R8" s="290"/>
      <c r="S8" s="285" t="s">
        <v>2</v>
      </c>
      <c r="T8" s="285"/>
      <c r="U8" s="285"/>
    </row>
    <row r="9" spans="1:24" s="117" customFormat="1" ht="6" customHeight="1" thickBot="1">
      <c r="A9" s="295"/>
      <c r="B9" s="295"/>
      <c r="C9" s="282"/>
      <c r="D9" s="295"/>
      <c r="E9" s="284"/>
      <c r="F9" s="291"/>
      <c r="G9" s="284"/>
      <c r="H9" s="294"/>
      <c r="I9" s="286"/>
      <c r="J9" s="286"/>
      <c r="K9" s="286"/>
      <c r="L9" s="295"/>
      <c r="M9" s="282"/>
      <c r="N9" s="288"/>
      <c r="O9" s="284"/>
      <c r="P9" s="291"/>
      <c r="Q9" s="284"/>
      <c r="R9" s="291"/>
      <c r="S9" s="286"/>
      <c r="T9" s="286"/>
      <c r="U9" s="286"/>
    </row>
    <row r="10" spans="1:24" s="117" customFormat="1" ht="42.75" customHeight="1" thickBot="1">
      <c r="A10" s="296"/>
      <c r="B10" s="295"/>
      <c r="C10" s="39" t="s">
        <v>61</v>
      </c>
      <c r="D10" s="295"/>
      <c r="E10" s="40" t="s">
        <v>62</v>
      </c>
      <c r="F10" s="292"/>
      <c r="G10" s="40" t="s">
        <v>63</v>
      </c>
      <c r="H10" s="294"/>
      <c r="I10" s="145" t="s">
        <v>6</v>
      </c>
      <c r="J10" s="145"/>
      <c r="K10" s="146" t="s">
        <v>19</v>
      </c>
      <c r="L10" s="295"/>
      <c r="M10" s="39" t="s">
        <v>61</v>
      </c>
      <c r="N10" s="289"/>
      <c r="O10" s="40" t="s">
        <v>62</v>
      </c>
      <c r="P10" s="292"/>
      <c r="Q10" s="40" t="s">
        <v>63</v>
      </c>
      <c r="R10" s="292"/>
      <c r="S10" s="41" t="s">
        <v>6</v>
      </c>
      <c r="T10" s="41"/>
      <c r="U10" s="146" t="s">
        <v>19</v>
      </c>
    </row>
    <row r="11" spans="1:24" s="62" customFormat="1" ht="30.75">
      <c r="A11" s="147" t="s">
        <v>109</v>
      </c>
      <c r="C11" s="4">
        <v>0</v>
      </c>
      <c r="D11" s="4"/>
      <c r="E11" s="4">
        <f>VLOOKUP(A11,'درآمد ناشی از تغییر قیمت  '!$A$7:$Q$25,9,0)</f>
        <v>73285502</v>
      </c>
      <c r="F11" s="4"/>
      <c r="G11" s="4">
        <v>0</v>
      </c>
      <c r="H11" s="4"/>
      <c r="I11" s="4">
        <f>G11+E11+C11</f>
        <v>73285502</v>
      </c>
      <c r="K11" s="58">
        <f>I11/25600400069</f>
        <v>2.8626701849375695E-3</v>
      </c>
      <c r="M11" s="4">
        <v>0</v>
      </c>
      <c r="N11" s="4"/>
      <c r="O11" s="4">
        <f>VLOOKUP(A11,'درآمد ناشی از تغییر قیمت  '!$A$7:$Q$25,17,0)</f>
        <v>73285502</v>
      </c>
      <c r="P11" s="4"/>
      <c r="Q11" s="4">
        <v>0</v>
      </c>
      <c r="R11" s="4"/>
      <c r="S11" s="4">
        <f>Q11+O11+M11</f>
        <v>73285502</v>
      </c>
      <c r="T11" s="67"/>
      <c r="U11" s="59">
        <f>S11/درآمدها!$J$4</f>
        <v>2.8626701849375695E-3</v>
      </c>
      <c r="V11" s="68"/>
      <c r="W11" s="68"/>
      <c r="X11" s="68"/>
    </row>
    <row r="12" spans="1:24" s="62" customFormat="1" ht="30.75">
      <c r="A12" s="147" t="s">
        <v>110</v>
      </c>
      <c r="C12" s="4">
        <v>0</v>
      </c>
      <c r="D12" s="4"/>
      <c r="E12" s="4">
        <f>VLOOKUP(A12,'درآمد ناشی از تغییر قیمت  '!$A$7:$Q$25,9,0)</f>
        <v>24361495862</v>
      </c>
      <c r="F12" s="4"/>
      <c r="G12" s="4">
        <f>VLOOKUP(A12,'درآمد ناشی ازفروش'!$A$7:$Q$20,9,0)</f>
        <v>3530866523</v>
      </c>
      <c r="H12" s="4"/>
      <c r="I12" s="4">
        <f t="shared" ref="I12:I28" si="0">G12+E12+C12</f>
        <v>27892362385</v>
      </c>
      <c r="K12" s="58">
        <f t="shared" ref="K12:K28" si="1">I12/25600400069</f>
        <v>1.0895283788465235</v>
      </c>
      <c r="M12" s="4">
        <v>0</v>
      </c>
      <c r="N12" s="4"/>
      <c r="O12" s="4">
        <f>VLOOKUP(A12,'درآمد ناشی از تغییر قیمت  '!$A$7:$Q$25,17,0)</f>
        <v>24361495862</v>
      </c>
      <c r="P12" s="4"/>
      <c r="Q12" s="4">
        <f>VLOOKUP(A12,'درآمد ناشی ازفروش'!$A$7:$Q$20,17,0)</f>
        <v>3530866523</v>
      </c>
      <c r="R12" s="4"/>
      <c r="S12" s="4">
        <f t="shared" ref="S12:S28" si="2">Q12+O12+M12</f>
        <v>27892362385</v>
      </c>
      <c r="T12" s="67"/>
      <c r="U12" s="59">
        <f>S12/درآمدها!$J$4</f>
        <v>1.0895283788465235</v>
      </c>
      <c r="V12" s="68"/>
      <c r="W12" s="68"/>
      <c r="X12" s="68"/>
    </row>
    <row r="13" spans="1:24" s="62" customFormat="1" ht="61.5">
      <c r="A13" s="147" t="s">
        <v>111</v>
      </c>
      <c r="C13" s="4">
        <v>0</v>
      </c>
      <c r="D13" s="4"/>
      <c r="E13" s="4">
        <f>VLOOKUP(A13,'درآمد ناشی از تغییر قیمت  '!$A$7:$Q$25,9,0)</f>
        <v>15697800</v>
      </c>
      <c r="F13" s="4"/>
      <c r="G13" s="4">
        <f>VLOOKUP(A13,'درآمد ناشی ازفروش'!$A$7:$Q$20,9,0)</f>
        <v>-1236404</v>
      </c>
      <c r="H13" s="4"/>
      <c r="I13" s="4">
        <f t="shared" si="0"/>
        <v>14461396</v>
      </c>
      <c r="K13" s="58">
        <f t="shared" si="1"/>
        <v>5.6488945332973807E-4</v>
      </c>
      <c r="M13" s="4">
        <v>0</v>
      </c>
      <c r="N13" s="4"/>
      <c r="O13" s="4">
        <f>VLOOKUP(A13,'درآمد ناشی از تغییر قیمت  '!$A$7:$Q$25,17,0)</f>
        <v>15697800</v>
      </c>
      <c r="P13" s="4"/>
      <c r="Q13" s="4">
        <f>VLOOKUP(A13,'درآمد ناشی ازفروش'!$A$7:$Q$20,17,0)</f>
        <v>-1236404</v>
      </c>
      <c r="R13" s="4"/>
      <c r="S13" s="4">
        <f t="shared" si="2"/>
        <v>14461396</v>
      </c>
      <c r="T13" s="67"/>
      <c r="U13" s="59">
        <f>S13/درآمدها!$J$4</f>
        <v>5.6488945332973807E-4</v>
      </c>
      <c r="V13" s="68"/>
      <c r="W13" s="68"/>
      <c r="X13" s="68"/>
    </row>
    <row r="14" spans="1:24" s="62" customFormat="1" ht="30.75">
      <c r="A14" s="147" t="s">
        <v>95</v>
      </c>
      <c r="C14" s="4">
        <v>0</v>
      </c>
      <c r="D14" s="4"/>
      <c r="E14" s="4">
        <f>VLOOKUP(A14,'درآمد ناشی از تغییر قیمت  '!$A$7:$Q$25,9,0)</f>
        <v>446416882</v>
      </c>
      <c r="F14" s="4"/>
      <c r="G14" s="4">
        <f>VLOOKUP(A14,'درآمد ناشی ازفروش'!$A$7:$Q$20,9,0)</f>
        <v>33845705</v>
      </c>
      <c r="H14" s="4"/>
      <c r="I14" s="4">
        <f t="shared" si="0"/>
        <v>480262587</v>
      </c>
      <c r="K14" s="58">
        <f t="shared" si="1"/>
        <v>1.8759964129684007E-2</v>
      </c>
      <c r="M14" s="4">
        <v>0</v>
      </c>
      <c r="N14" s="4"/>
      <c r="O14" s="4">
        <f>VLOOKUP(A14,'درآمد ناشی از تغییر قیمت  '!$A$7:$Q$25,17,0)</f>
        <v>446416882</v>
      </c>
      <c r="P14" s="4"/>
      <c r="Q14" s="4">
        <f>VLOOKUP(A14,'درآمد ناشی ازفروش'!$A$7:$Q$20,17,0)</f>
        <v>33845705</v>
      </c>
      <c r="R14" s="4"/>
      <c r="S14" s="4">
        <f t="shared" si="2"/>
        <v>480262587</v>
      </c>
      <c r="T14" s="67"/>
      <c r="U14" s="59">
        <f>S14/درآمدها!$J$4</f>
        <v>1.8759964129684007E-2</v>
      </c>
      <c r="V14" s="68"/>
      <c r="W14" s="68"/>
      <c r="X14" s="68"/>
    </row>
    <row r="15" spans="1:24" s="62" customFormat="1" ht="30.75">
      <c r="A15" s="147" t="s">
        <v>96</v>
      </c>
      <c r="C15" s="4">
        <v>0</v>
      </c>
      <c r="D15" s="4"/>
      <c r="E15" s="4">
        <f>VLOOKUP(A15,'درآمد ناشی از تغییر قیمت  '!$A$7:$Q$25,9,0)</f>
        <v>-35085393</v>
      </c>
      <c r="F15" s="4"/>
      <c r="G15" s="4">
        <f>VLOOKUP(A15,'درآمد ناشی ازفروش'!$A$7:$Q$20,9,0)</f>
        <v>-521426</v>
      </c>
      <c r="H15" s="4"/>
      <c r="I15" s="4">
        <f t="shared" si="0"/>
        <v>-35606819</v>
      </c>
      <c r="K15" s="58">
        <f t="shared" si="1"/>
        <v>-1.3908696311006857E-3</v>
      </c>
      <c r="M15" s="4">
        <v>0</v>
      </c>
      <c r="N15" s="4"/>
      <c r="O15" s="4">
        <f>VLOOKUP(A15,'درآمد ناشی از تغییر قیمت  '!$A$7:$Q$25,17,0)</f>
        <v>-35085393</v>
      </c>
      <c r="P15" s="4"/>
      <c r="Q15" s="4">
        <f>VLOOKUP(A15,'درآمد ناشی ازفروش'!$A$7:$Q$20,17,0)</f>
        <v>-521426</v>
      </c>
      <c r="R15" s="4"/>
      <c r="S15" s="4">
        <f t="shared" si="2"/>
        <v>-35606819</v>
      </c>
      <c r="T15" s="67"/>
      <c r="U15" s="59">
        <f>S15/درآمدها!$J$4</f>
        <v>-1.3908696311006857E-3</v>
      </c>
      <c r="V15" s="68"/>
      <c r="W15" s="68"/>
      <c r="X15" s="68"/>
    </row>
    <row r="16" spans="1:24" s="62" customFormat="1" ht="30.75">
      <c r="A16" s="147" t="s">
        <v>112</v>
      </c>
      <c r="C16" s="4">
        <v>0</v>
      </c>
      <c r="D16" s="4"/>
      <c r="E16" s="4">
        <f>VLOOKUP(A16,'درآمد ناشی از تغییر قیمت  '!$A$7:$Q$25,9,0)</f>
        <v>290404155</v>
      </c>
      <c r="F16" s="4"/>
      <c r="G16" s="4">
        <f>VLOOKUP(A16,'درآمد ناشی ازفروش'!$A$7:$Q$20,9,0)</f>
        <v>-17268</v>
      </c>
      <c r="H16" s="4"/>
      <c r="I16" s="4">
        <f t="shared" si="0"/>
        <v>290386887</v>
      </c>
      <c r="K16" s="58">
        <f t="shared" si="1"/>
        <v>1.1343060507543978E-2</v>
      </c>
      <c r="M16" s="4">
        <v>0</v>
      </c>
      <c r="N16" s="4"/>
      <c r="O16" s="4">
        <f>VLOOKUP(A16,'درآمد ناشی از تغییر قیمت  '!$A$7:$Q$25,17,0)</f>
        <v>290404155</v>
      </c>
      <c r="P16" s="4"/>
      <c r="Q16" s="4">
        <f>VLOOKUP(A16,'درآمد ناشی ازفروش'!$A$7:$Q$20,17,0)</f>
        <v>-17268</v>
      </c>
      <c r="R16" s="4"/>
      <c r="S16" s="4">
        <f t="shared" si="2"/>
        <v>290386887</v>
      </c>
      <c r="T16" s="67"/>
      <c r="U16" s="59">
        <f>S16/درآمدها!$J$4</f>
        <v>1.1343060507543978E-2</v>
      </c>
      <c r="V16" s="68"/>
      <c r="W16" s="68"/>
      <c r="X16" s="68"/>
    </row>
    <row r="17" spans="1:24" s="62" customFormat="1" ht="30.75">
      <c r="A17" s="147" t="s">
        <v>97</v>
      </c>
      <c r="C17" s="4">
        <v>0</v>
      </c>
      <c r="D17" s="4"/>
      <c r="E17" s="4">
        <f>VLOOKUP(A17,'درآمد ناشی از تغییر قیمت  '!$A$7:$Q$25,9,0)</f>
        <v>5242023</v>
      </c>
      <c r="F17" s="4"/>
      <c r="G17" s="4">
        <f>VLOOKUP(A17,'درآمد ناشی ازفروش'!$A$7:$Q$20,9,0)</f>
        <v>10147666</v>
      </c>
      <c r="H17" s="4"/>
      <c r="I17" s="4">
        <f t="shared" si="0"/>
        <v>15389689</v>
      </c>
      <c r="K17" s="58">
        <f t="shared" si="1"/>
        <v>6.0115033196827497E-4</v>
      </c>
      <c r="M17" s="4">
        <v>0</v>
      </c>
      <c r="N17" s="4"/>
      <c r="O17" s="4">
        <f>VLOOKUP(A17,'درآمد ناشی از تغییر قیمت  '!$A$7:$Q$25,17,0)</f>
        <v>5242023</v>
      </c>
      <c r="P17" s="4"/>
      <c r="Q17" s="4">
        <f>VLOOKUP(A17,'درآمد ناشی ازفروش'!$A$7:$Q$20,17,0)</f>
        <v>10147666</v>
      </c>
      <c r="R17" s="4"/>
      <c r="S17" s="4">
        <f t="shared" si="2"/>
        <v>15389689</v>
      </c>
      <c r="T17" s="67"/>
      <c r="U17" s="59">
        <f>S17/درآمدها!$J$4</f>
        <v>6.0115033196827497E-4</v>
      </c>
      <c r="V17" s="68"/>
      <c r="W17" s="68"/>
      <c r="X17" s="68"/>
    </row>
    <row r="18" spans="1:24" s="62" customFormat="1" ht="30.75">
      <c r="A18" s="147" t="s">
        <v>98</v>
      </c>
      <c r="C18" s="4">
        <v>0</v>
      </c>
      <c r="D18" s="4"/>
      <c r="E18" s="4">
        <f>VLOOKUP(A18,'درآمد ناشی از تغییر قیمت  '!$A$7:$Q$25,9,0)</f>
        <v>-399144316</v>
      </c>
      <c r="F18" s="4"/>
      <c r="G18" s="4">
        <f>VLOOKUP(A18,'درآمد ناشی ازفروش'!$A$7:$Q$20,9,0)</f>
        <v>-2039058</v>
      </c>
      <c r="H18" s="4"/>
      <c r="I18" s="4">
        <f t="shared" si="0"/>
        <v>-401183374</v>
      </c>
      <c r="K18" s="58">
        <f t="shared" si="1"/>
        <v>-1.5670980645564225E-2</v>
      </c>
      <c r="M18" s="4">
        <v>0</v>
      </c>
      <c r="N18" s="4"/>
      <c r="O18" s="4">
        <f>VLOOKUP(A18,'درآمد ناشی از تغییر قیمت  '!$A$7:$Q$25,17,0)</f>
        <v>-399144316</v>
      </c>
      <c r="P18" s="4"/>
      <c r="Q18" s="4">
        <f>VLOOKUP(A18,'درآمد ناشی ازفروش'!$A$7:$Q$20,17,0)</f>
        <v>-2039058</v>
      </c>
      <c r="R18" s="4"/>
      <c r="S18" s="4">
        <f t="shared" si="2"/>
        <v>-401183374</v>
      </c>
      <c r="T18" s="67"/>
      <c r="U18" s="59">
        <f>S18/درآمدها!$J$4</f>
        <v>-1.5670980645564225E-2</v>
      </c>
      <c r="V18" s="68"/>
      <c r="W18" s="68"/>
      <c r="X18" s="68"/>
    </row>
    <row r="19" spans="1:24" s="62" customFormat="1" ht="30.75">
      <c r="A19" s="147" t="s">
        <v>99</v>
      </c>
      <c r="C19" s="4">
        <v>0</v>
      </c>
      <c r="D19" s="4"/>
      <c r="E19" s="4">
        <f>VLOOKUP(A19,'درآمد ناشی از تغییر قیمت  '!$A$7:$Q$25,9,0)</f>
        <v>-105491817</v>
      </c>
      <c r="F19" s="4"/>
      <c r="G19" s="4">
        <f>VLOOKUP(A19,'درآمد ناشی ازفروش'!$A$7:$Q$20,9,0)</f>
        <v>-272253</v>
      </c>
      <c r="H19" s="4"/>
      <c r="I19" s="4">
        <f t="shared" si="0"/>
        <v>-105764070</v>
      </c>
      <c r="K19" s="58">
        <f t="shared" si="1"/>
        <v>-4.1313444209831575E-3</v>
      </c>
      <c r="M19" s="4">
        <v>0</v>
      </c>
      <c r="N19" s="4"/>
      <c r="O19" s="4">
        <f>VLOOKUP(A19,'درآمد ناشی از تغییر قیمت  '!$A$7:$Q$25,17,0)</f>
        <v>-105491817</v>
      </c>
      <c r="P19" s="4"/>
      <c r="Q19" s="4">
        <f>VLOOKUP(A19,'درآمد ناشی ازفروش'!$A$7:$Q$20,17,0)</f>
        <v>-272253</v>
      </c>
      <c r="R19" s="4"/>
      <c r="S19" s="4">
        <f t="shared" si="2"/>
        <v>-105764070</v>
      </c>
      <c r="T19" s="67"/>
      <c r="U19" s="59">
        <f>S19/درآمدها!$J$4</f>
        <v>-4.1313444209831575E-3</v>
      </c>
      <c r="V19" s="68"/>
      <c r="W19" s="68"/>
      <c r="X19" s="68"/>
    </row>
    <row r="20" spans="1:24" s="62" customFormat="1" ht="30.75">
      <c r="A20" s="147" t="s">
        <v>113</v>
      </c>
      <c r="C20" s="4">
        <v>0</v>
      </c>
      <c r="D20" s="4"/>
      <c r="E20" s="4">
        <f>VLOOKUP(A20,'درآمد ناشی از تغییر قیمت  '!$A$7:$Q$25,9,0)</f>
        <v>175615166</v>
      </c>
      <c r="F20" s="4"/>
      <c r="G20" s="4">
        <f>VLOOKUP(A20,'درآمد ناشی ازفروش'!$A$7:$Q$20,9,0)</f>
        <v>130697</v>
      </c>
      <c r="H20" s="4"/>
      <c r="I20" s="4">
        <f t="shared" si="0"/>
        <v>175745863</v>
      </c>
      <c r="K20" s="58">
        <f t="shared" si="1"/>
        <v>6.864965489848494E-3</v>
      </c>
      <c r="M20" s="4">
        <v>0</v>
      </c>
      <c r="N20" s="4"/>
      <c r="O20" s="4">
        <f>VLOOKUP(A20,'درآمد ناشی از تغییر قیمت  '!$A$7:$Q$25,17,0)</f>
        <v>175615166</v>
      </c>
      <c r="P20" s="4"/>
      <c r="Q20" s="4">
        <f>VLOOKUP(A20,'درآمد ناشی ازفروش'!$A$7:$Q$20,17,0)</f>
        <v>130697</v>
      </c>
      <c r="R20" s="4"/>
      <c r="S20" s="4">
        <f t="shared" si="2"/>
        <v>175745863</v>
      </c>
      <c r="T20" s="67"/>
      <c r="U20" s="59">
        <f>S20/درآمدها!$J$4</f>
        <v>6.864965489848494E-3</v>
      </c>
      <c r="V20" s="68"/>
      <c r="W20" s="68"/>
      <c r="X20" s="68"/>
    </row>
    <row r="21" spans="1:24" s="62" customFormat="1" ht="30.75">
      <c r="A21" s="147" t="s">
        <v>117</v>
      </c>
      <c r="C21" s="4">
        <v>0</v>
      </c>
      <c r="D21" s="4"/>
      <c r="E21" s="4">
        <f>VLOOKUP(A21,'درآمد ناشی از تغییر قیمت  '!$A$7:$Q$25,9,0)</f>
        <v>-1516423275</v>
      </c>
      <c r="F21" s="4"/>
      <c r="G21" s="4">
        <v>0</v>
      </c>
      <c r="H21" s="4"/>
      <c r="I21" s="4">
        <f t="shared" si="0"/>
        <v>-1516423275</v>
      </c>
      <c r="K21" s="58">
        <f t="shared" si="1"/>
        <v>-5.9234358483181093E-2</v>
      </c>
      <c r="M21" s="4">
        <v>0</v>
      </c>
      <c r="N21" s="4"/>
      <c r="O21" s="4">
        <f>VLOOKUP(A21,'درآمد ناشی از تغییر قیمت  '!$A$7:$Q$25,17,0)</f>
        <v>-1516423275</v>
      </c>
      <c r="P21" s="4"/>
      <c r="Q21" s="4">
        <v>0</v>
      </c>
      <c r="R21" s="4"/>
      <c r="S21" s="4">
        <f t="shared" si="2"/>
        <v>-1516423275</v>
      </c>
      <c r="T21" s="67"/>
      <c r="U21" s="59">
        <f>S21/درآمدها!$J$4</f>
        <v>-5.9234358483181093E-2</v>
      </c>
      <c r="V21" s="68"/>
      <c r="W21" s="68"/>
      <c r="X21" s="68"/>
    </row>
    <row r="22" spans="1:24" s="62" customFormat="1" ht="30.75">
      <c r="A22" s="147" t="s">
        <v>114</v>
      </c>
      <c r="C22" s="4">
        <v>0</v>
      </c>
      <c r="D22" s="4"/>
      <c r="E22" s="4">
        <f>VLOOKUP(A22,'درآمد ناشی از تغییر قیمت  '!$A$7:$Q$25,9,0)</f>
        <v>83119885</v>
      </c>
      <c r="F22" s="4"/>
      <c r="G22" s="4">
        <v>0</v>
      </c>
      <c r="H22" s="4"/>
      <c r="I22" s="4">
        <f t="shared" si="0"/>
        <v>83119885</v>
      </c>
      <c r="K22" s="58">
        <f t="shared" si="1"/>
        <v>3.246819767502439E-3</v>
      </c>
      <c r="M22" s="4">
        <v>0</v>
      </c>
      <c r="N22" s="4"/>
      <c r="O22" s="4">
        <f>VLOOKUP(A22,'درآمد ناشی از تغییر قیمت  '!$A$7:$Q$25,17,0)</f>
        <v>83119885</v>
      </c>
      <c r="P22" s="4"/>
      <c r="Q22" s="4">
        <v>0</v>
      </c>
      <c r="R22" s="4"/>
      <c r="S22" s="4">
        <f t="shared" si="2"/>
        <v>83119885</v>
      </c>
      <c r="T22" s="67"/>
      <c r="U22" s="59">
        <f>S22/درآمدها!$J$4</f>
        <v>3.246819767502439E-3</v>
      </c>
      <c r="V22" s="68"/>
      <c r="W22" s="68"/>
      <c r="X22" s="68"/>
    </row>
    <row r="23" spans="1:24" s="62" customFormat="1" ht="30.75">
      <c r="A23" s="147" t="s">
        <v>115</v>
      </c>
      <c r="C23" s="4">
        <v>0</v>
      </c>
      <c r="D23" s="4"/>
      <c r="E23" s="4">
        <f>VLOOKUP(A23,'درآمد ناشی از تغییر قیمت  '!$A$7:$Q$25,9,0)</f>
        <v>53857986</v>
      </c>
      <c r="F23" s="4"/>
      <c r="G23" s="4">
        <f>VLOOKUP(A23,'درآمد ناشی ازفروش'!$A$7:$Q$20,9,0)</f>
        <v>-159700</v>
      </c>
      <c r="H23" s="4"/>
      <c r="I23" s="4">
        <f t="shared" si="0"/>
        <v>53698286</v>
      </c>
      <c r="K23" s="58">
        <f t="shared" si="1"/>
        <v>2.0975565169008533E-3</v>
      </c>
      <c r="M23" s="4">
        <v>0</v>
      </c>
      <c r="N23" s="4"/>
      <c r="O23" s="4">
        <f>VLOOKUP(A23,'درآمد ناشی از تغییر قیمت  '!$A$7:$Q$25,17,0)</f>
        <v>53857986</v>
      </c>
      <c r="P23" s="4"/>
      <c r="Q23" s="4">
        <f>VLOOKUP(A23,'درآمد ناشی ازفروش'!$A$7:$Q$20,17,0)</f>
        <v>-159700</v>
      </c>
      <c r="R23" s="4"/>
      <c r="S23" s="4">
        <f t="shared" si="2"/>
        <v>53698286</v>
      </c>
      <c r="T23" s="67"/>
      <c r="U23" s="59">
        <f>S23/درآمدها!$J$4</f>
        <v>2.0975565169008533E-3</v>
      </c>
      <c r="V23" s="68"/>
      <c r="W23" s="68"/>
      <c r="X23" s="68"/>
    </row>
    <row r="24" spans="1:24" s="62" customFormat="1" ht="30.75">
      <c r="A24" s="147" t="s">
        <v>100</v>
      </c>
      <c r="C24" s="4">
        <v>0</v>
      </c>
      <c r="D24" s="4"/>
      <c r="E24" s="4">
        <f>VLOOKUP(A24,'درآمد ناشی از تغییر قیمت  '!$A$7:$Q$25,9,0)</f>
        <v>-456550257</v>
      </c>
      <c r="F24" s="4"/>
      <c r="G24" s="4">
        <f>VLOOKUP(A24,'درآمد ناشی ازفروش'!$A$7:$Q$20,9,0)</f>
        <v>-1033043</v>
      </c>
      <c r="H24" s="4"/>
      <c r="I24" s="4">
        <f t="shared" si="0"/>
        <v>-457583300</v>
      </c>
      <c r="K24" s="58">
        <f t="shared" si="1"/>
        <v>-1.787406832575621E-2</v>
      </c>
      <c r="M24" s="4">
        <v>0</v>
      </c>
      <c r="N24" s="4"/>
      <c r="O24" s="4">
        <f>VLOOKUP(A24,'درآمد ناشی از تغییر قیمت  '!$A$7:$Q$25,17,0)</f>
        <v>-456550257</v>
      </c>
      <c r="P24" s="4"/>
      <c r="Q24" s="4">
        <f>VLOOKUP(A24,'درآمد ناشی ازفروش'!$A$7:$Q$20,17,0)</f>
        <v>-1033043</v>
      </c>
      <c r="R24" s="4"/>
      <c r="S24" s="4">
        <f t="shared" si="2"/>
        <v>-457583300</v>
      </c>
      <c r="T24" s="67"/>
      <c r="U24" s="59">
        <f>S24/درآمدها!$J$4</f>
        <v>-1.787406832575621E-2</v>
      </c>
      <c r="V24" s="68"/>
      <c r="W24" s="68"/>
      <c r="X24" s="68"/>
    </row>
    <row r="25" spans="1:24" s="62" customFormat="1" ht="30.75">
      <c r="A25" s="147" t="s">
        <v>101</v>
      </c>
      <c r="C25" s="4">
        <v>0</v>
      </c>
      <c r="D25" s="4"/>
      <c r="E25" s="4">
        <f>VLOOKUP(A25,'درآمد ناشی از تغییر قیمت  '!$A$7:$Q$25,9,0)</f>
        <v>-464676466</v>
      </c>
      <c r="F25" s="4"/>
      <c r="G25" s="4">
        <f>VLOOKUP(A25,'درآمد ناشی ازفروش'!$A$7:$Q$20,9,0)</f>
        <v>-2316850</v>
      </c>
      <c r="H25" s="4"/>
      <c r="I25" s="4">
        <f t="shared" si="0"/>
        <v>-466993316</v>
      </c>
      <c r="K25" s="58">
        <f t="shared" si="1"/>
        <v>-1.8241641331437273E-2</v>
      </c>
      <c r="M25" s="4">
        <v>0</v>
      </c>
      <c r="N25" s="4"/>
      <c r="O25" s="4">
        <f>VLOOKUP(A25,'درآمد ناشی از تغییر قیمت  '!$A$7:$Q$25,17,0)</f>
        <v>-464676466</v>
      </c>
      <c r="P25" s="4"/>
      <c r="Q25" s="4">
        <f>VLOOKUP(A25,'درآمد ناشی ازفروش'!$A$7:$Q$20,17,0)</f>
        <v>-2316850</v>
      </c>
      <c r="R25" s="4"/>
      <c r="S25" s="4">
        <f t="shared" si="2"/>
        <v>-466993316</v>
      </c>
      <c r="T25" s="67"/>
      <c r="U25" s="59">
        <f>S25/درآمدها!$J$4</f>
        <v>-1.8241641331437273E-2</v>
      </c>
      <c r="V25" s="68"/>
      <c r="W25" s="68"/>
      <c r="X25" s="68"/>
    </row>
    <row r="26" spans="1:24" s="62" customFormat="1" ht="30.75">
      <c r="A26" s="147" t="s">
        <v>116</v>
      </c>
      <c r="C26" s="4">
        <v>0</v>
      </c>
      <c r="D26" s="4"/>
      <c r="E26" s="4">
        <f>VLOOKUP(A26,'درآمد ناشی از تغییر قیمت  '!$A$7:$Q$25,9,0)</f>
        <v>-8429286</v>
      </c>
      <c r="F26" s="4"/>
      <c r="G26" s="4">
        <v>0</v>
      </c>
      <c r="H26" s="4"/>
      <c r="I26" s="4">
        <f t="shared" si="0"/>
        <v>-8429286</v>
      </c>
      <c r="K26" s="58">
        <f t="shared" si="1"/>
        <v>-3.2926383874005077E-4</v>
      </c>
      <c r="M26" s="4">
        <v>0</v>
      </c>
      <c r="N26" s="4"/>
      <c r="O26" s="4">
        <f>VLOOKUP(A26,'درآمد ناشی از تغییر قیمت  '!$A$7:$Q$25,17,0)</f>
        <v>-8429286</v>
      </c>
      <c r="P26" s="4"/>
      <c r="Q26" s="4">
        <v>0</v>
      </c>
      <c r="R26" s="4"/>
      <c r="S26" s="4">
        <f t="shared" si="2"/>
        <v>-8429286</v>
      </c>
      <c r="T26" s="67"/>
      <c r="U26" s="59">
        <f>S26/درآمدها!$J$4</f>
        <v>-3.2926383874005077E-4</v>
      </c>
      <c r="V26" s="68"/>
      <c r="W26" s="68"/>
      <c r="X26" s="68"/>
    </row>
    <row r="27" spans="1:24" s="62" customFormat="1" ht="30.75">
      <c r="A27" s="147" t="s">
        <v>102</v>
      </c>
      <c r="C27" s="4">
        <v>0</v>
      </c>
      <c r="D27" s="4"/>
      <c r="E27" s="4">
        <f>VLOOKUP(A27,'درآمد ناشی از تغییر قیمت  '!$A$7:$Q$25,9,0)</f>
        <v>-118053558</v>
      </c>
      <c r="F27" s="4"/>
      <c r="G27" s="4">
        <f>VLOOKUP(A27,'درآمد ناشی ازفروش'!$A$7:$Q$20,9,0)</f>
        <v>-2425141</v>
      </c>
      <c r="H27" s="4"/>
      <c r="I27" s="4">
        <f t="shared" si="0"/>
        <v>-120478699</v>
      </c>
      <c r="K27" s="58">
        <f t="shared" si="1"/>
        <v>-4.7061256337899929E-3</v>
      </c>
      <c r="M27" s="4">
        <v>0</v>
      </c>
      <c r="N27" s="4"/>
      <c r="O27" s="4">
        <f>VLOOKUP(A27,'درآمد ناشی از تغییر قیمت  '!$A$7:$Q$25,17,0)</f>
        <v>-118053558</v>
      </c>
      <c r="P27" s="4"/>
      <c r="Q27" s="4">
        <f>VLOOKUP(A27,'درآمد ناشی ازفروش'!$A$7:$Q$20,17,0)</f>
        <v>-2425141</v>
      </c>
      <c r="R27" s="4"/>
      <c r="S27" s="4">
        <f t="shared" si="2"/>
        <v>-120478699</v>
      </c>
      <c r="T27" s="67"/>
      <c r="U27" s="59">
        <f>S27/درآمدها!$J$4</f>
        <v>-4.7061256337899929E-3</v>
      </c>
      <c r="V27" s="68"/>
      <c r="W27" s="68"/>
      <c r="X27" s="68"/>
    </row>
    <row r="28" spans="1:24" s="62" customFormat="1" ht="30.75">
      <c r="A28" s="147" t="s">
        <v>103</v>
      </c>
      <c r="C28" s="4">
        <v>0</v>
      </c>
      <c r="D28" s="4"/>
      <c r="E28" s="4">
        <f>VLOOKUP(A28,'درآمد ناشی از تغییر قیمت  '!$A$7:$Q$25,9,0)</f>
        <v>-462126653</v>
      </c>
      <c r="F28" s="4"/>
      <c r="G28" s="4">
        <f>VLOOKUP(A28,'درآمد ناشی ازفروش'!$A$7:$Q$20,9,0)</f>
        <v>-1010448</v>
      </c>
      <c r="H28" s="4"/>
      <c r="I28" s="4">
        <f t="shared" si="0"/>
        <v>-463137101</v>
      </c>
      <c r="K28" s="58">
        <f t="shared" si="1"/>
        <v>-1.8091010287015839E-2</v>
      </c>
      <c r="M28" s="4">
        <v>0</v>
      </c>
      <c r="N28" s="4"/>
      <c r="O28" s="4">
        <f>VLOOKUP(A28,'درآمد ناشی از تغییر قیمت  '!$A$7:$Q$25,17,0)</f>
        <v>-462126653</v>
      </c>
      <c r="P28" s="4"/>
      <c r="Q28" s="4">
        <f>VLOOKUP(A28,'درآمد ناشی ازفروش'!$A$7:$Q$20,17,0)</f>
        <v>-1010448</v>
      </c>
      <c r="R28" s="4"/>
      <c r="S28" s="4">
        <f t="shared" si="2"/>
        <v>-463137101</v>
      </c>
      <c r="T28" s="67"/>
      <c r="U28" s="59">
        <f>S28/درآمدها!$J$4</f>
        <v>-1.8091010287015839E-2</v>
      </c>
      <c r="V28" s="68"/>
      <c r="W28" s="68"/>
      <c r="X28" s="68"/>
    </row>
    <row r="29" spans="1:24" s="148" customFormat="1" ht="25.5" customHeight="1" thickBot="1">
      <c r="C29" s="149">
        <f>SUM(C11:C28)</f>
        <v>0</v>
      </c>
      <c r="D29" s="150">
        <v>0</v>
      </c>
      <c r="E29" s="149">
        <f>SUM(E11:E28)</f>
        <v>21939154240</v>
      </c>
      <c r="F29" s="150">
        <v>0</v>
      </c>
      <c r="G29" s="149">
        <f>SUM(G11:G28)</f>
        <v>3563959000</v>
      </c>
      <c r="H29" s="150">
        <v>0</v>
      </c>
      <c r="I29" s="149">
        <f>SUM(I11:I28)</f>
        <v>25503113240</v>
      </c>
      <c r="J29" s="151">
        <v>0</v>
      </c>
      <c r="K29" s="152">
        <f>SUM(K11:K28)</f>
        <v>0.99619979263067038</v>
      </c>
      <c r="M29" s="149">
        <f>SUM(M11:M28)</f>
        <v>0</v>
      </c>
      <c r="N29" s="4"/>
      <c r="O29" s="149">
        <f>SUM(O11:O28)</f>
        <v>21939154240</v>
      </c>
      <c r="P29" s="4"/>
      <c r="Q29" s="149">
        <f>SUM(Q11:Q28)</f>
        <v>3563959000</v>
      </c>
      <c r="R29" s="4"/>
      <c r="S29" s="149">
        <f>SUM(S11:S28)</f>
        <v>25503113240</v>
      </c>
      <c r="T29" s="151"/>
      <c r="U29" s="152">
        <f>SUM(U11:U28)</f>
        <v>0.99619979263067038</v>
      </c>
    </row>
    <row r="30" spans="1:24" ht="25.5" customHeight="1" thickTop="1">
      <c r="D30" s="4">
        <v>0</v>
      </c>
      <c r="F30" s="4">
        <v>0</v>
      </c>
      <c r="H30" s="4">
        <v>0</v>
      </c>
      <c r="J30" s="67">
        <v>0</v>
      </c>
      <c r="L30" s="62"/>
      <c r="N30" s="4"/>
      <c r="O30" s="153"/>
      <c r="P30" s="4"/>
      <c r="Q30" s="153"/>
      <c r="R30" s="4"/>
      <c r="S30" s="153"/>
      <c r="T30" s="153"/>
    </row>
    <row r="31" spans="1:24" s="44" customFormat="1" ht="33"/>
    <row r="32" spans="1:24" s="44" customFormat="1" ht="33">
      <c r="O32" s="35"/>
    </row>
    <row r="33" spans="4:8" s="44" customFormat="1" ht="33"/>
    <row r="37" spans="4:8" ht="33">
      <c r="D37" s="155"/>
      <c r="E37" s="45"/>
      <c r="F37" s="45"/>
      <c r="G37" s="45"/>
      <c r="H37" s="156"/>
    </row>
  </sheetData>
  <autoFilter ref="A10:U10" xr:uid="{00000000-0009-0000-0000-000009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Q18"/>
  <sheetViews>
    <sheetView rightToLeft="1" view="pageBreakPreview" zoomScaleNormal="100" zoomScaleSheetLayoutView="100" workbookViewId="0">
      <selection activeCell="E14" sqref="E14"/>
    </sheetView>
  </sheetViews>
  <sheetFormatPr defaultColWidth="9.140625" defaultRowHeight="21.75"/>
  <cols>
    <col min="1" max="1" width="32.5703125" style="85" customWidth="1"/>
    <col min="2" max="2" width="0.42578125" style="85" customWidth="1"/>
    <col min="3" max="3" width="17.5703125" style="85" bestFit="1" customWidth="1"/>
    <col min="4" max="4" width="0.7109375" style="85" customWidth="1"/>
    <col min="5" max="5" width="17.7109375" style="85" bestFit="1" customWidth="1"/>
    <col min="6" max="6" width="0.5703125" style="85" customWidth="1"/>
    <col min="7" max="7" width="17" style="85" bestFit="1" customWidth="1"/>
    <col min="8" max="8" width="0.5703125" style="85" customWidth="1"/>
    <col min="9" max="9" width="17.7109375" style="85" bestFit="1" customWidth="1"/>
    <col min="10" max="10" width="0.42578125" style="85" customWidth="1"/>
    <col min="11" max="11" width="17.5703125" style="85" bestFit="1" customWidth="1"/>
    <col min="12" max="12" width="0.5703125" style="85" customWidth="1"/>
    <col min="13" max="13" width="17.7109375" style="85" bestFit="1" customWidth="1"/>
    <col min="14" max="14" width="0.85546875" style="85" customWidth="1"/>
    <col min="15" max="15" width="19.28515625" style="85" bestFit="1" customWidth="1"/>
    <col min="16" max="16" width="0.5703125" style="85" customWidth="1"/>
    <col min="17" max="17" width="19.28515625" style="85" bestFit="1" customWidth="1"/>
    <col min="18" max="18" width="9.140625" style="85"/>
    <col min="19" max="19" width="13.7109375" style="85" bestFit="1" customWidth="1"/>
    <col min="20" max="16384" width="9.140625" style="85"/>
  </cols>
  <sheetData>
    <row r="1" spans="1:17" ht="21" customHeight="1">
      <c r="A1" s="268" t="s">
        <v>94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ht="18" customHeight="1">
      <c r="A2" s="268" t="s">
        <v>57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</row>
    <row r="3" spans="1:17" ht="19.5" customHeight="1">
      <c r="A3" s="268" t="str">
        <f>' سهام'!A3:W3</f>
        <v>برای ماه منتهی به 1402/08/30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</row>
    <row r="4" spans="1:17">
      <c r="A4" s="252" t="s">
        <v>29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</row>
    <row r="5" spans="1:17" ht="4.5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</row>
    <row r="6" spans="1:17" ht="22.5" customHeight="1" thickBot="1">
      <c r="A6" s="167"/>
      <c r="B6" s="168"/>
      <c r="C6" s="300" t="s">
        <v>130</v>
      </c>
      <c r="D6" s="300"/>
      <c r="E6" s="300"/>
      <c r="F6" s="300"/>
      <c r="G6" s="300"/>
      <c r="H6" s="300"/>
      <c r="I6" s="300"/>
      <c r="J6" s="184"/>
      <c r="K6" s="300" t="s">
        <v>132</v>
      </c>
      <c r="L6" s="300"/>
      <c r="M6" s="300"/>
      <c r="N6" s="300"/>
      <c r="O6" s="300"/>
      <c r="P6" s="300"/>
      <c r="Q6" s="300"/>
    </row>
    <row r="7" spans="1:17" ht="15.75" customHeight="1">
      <c r="A7" s="301"/>
      <c r="B7" s="302"/>
      <c r="C7" s="298" t="s">
        <v>15</v>
      </c>
      <c r="D7" s="298"/>
      <c r="E7" s="298" t="s">
        <v>13</v>
      </c>
      <c r="F7" s="301"/>
      <c r="G7" s="298" t="s">
        <v>14</v>
      </c>
      <c r="H7" s="301"/>
      <c r="I7" s="298" t="s">
        <v>2</v>
      </c>
      <c r="J7" s="158"/>
      <c r="K7" s="298" t="s">
        <v>15</v>
      </c>
      <c r="L7" s="298"/>
      <c r="M7" s="298" t="s">
        <v>13</v>
      </c>
      <c r="N7" s="301"/>
      <c r="O7" s="298" t="s">
        <v>14</v>
      </c>
      <c r="P7" s="301"/>
      <c r="Q7" s="298" t="s">
        <v>2</v>
      </c>
    </row>
    <row r="8" spans="1:17" ht="12" customHeight="1">
      <c r="A8" s="302"/>
      <c r="B8" s="302"/>
      <c r="C8" s="299"/>
      <c r="D8" s="299"/>
      <c r="E8" s="299"/>
      <c r="F8" s="302"/>
      <c r="G8" s="299"/>
      <c r="H8" s="302"/>
      <c r="I8" s="299"/>
      <c r="J8" s="158"/>
      <c r="K8" s="299"/>
      <c r="L8" s="299"/>
      <c r="M8" s="299"/>
      <c r="N8" s="302"/>
      <c r="O8" s="299"/>
      <c r="P8" s="302"/>
      <c r="Q8" s="299"/>
    </row>
    <row r="9" spans="1:17" ht="14.25" customHeight="1" thickBot="1">
      <c r="A9" s="302"/>
      <c r="B9" s="302"/>
      <c r="C9" s="217" t="s">
        <v>67</v>
      </c>
      <c r="D9" s="299"/>
      <c r="E9" s="217" t="s">
        <v>62</v>
      </c>
      <c r="F9" s="302"/>
      <c r="G9" s="217" t="s">
        <v>63</v>
      </c>
      <c r="H9" s="302"/>
      <c r="I9" s="300"/>
      <c r="J9" s="169"/>
      <c r="K9" s="217" t="s">
        <v>67</v>
      </c>
      <c r="L9" s="299"/>
      <c r="M9" s="217" t="s">
        <v>62</v>
      </c>
      <c r="N9" s="302"/>
      <c r="O9" s="217" t="s">
        <v>63</v>
      </c>
      <c r="P9" s="302"/>
      <c r="Q9" s="300"/>
    </row>
    <row r="10" spans="1:17" ht="21" customHeight="1">
      <c r="A10" s="81" t="s">
        <v>120</v>
      </c>
      <c r="B10" s="88"/>
      <c r="C10" s="17">
        <v>0</v>
      </c>
      <c r="D10" s="17"/>
      <c r="E10" s="17">
        <f>VLOOKUP(A10,'درآمد ناشی از تغییر قیمت  '!A7:Q25,9,0)</f>
        <v>-10074700</v>
      </c>
      <c r="F10" s="17"/>
      <c r="G10" s="17">
        <v>0</v>
      </c>
      <c r="H10" s="17"/>
      <c r="I10" s="17">
        <f>C10+E10+G10</f>
        <v>-10074700</v>
      </c>
      <c r="J10" s="17"/>
      <c r="K10" s="17">
        <v>0</v>
      </c>
      <c r="L10" s="17"/>
      <c r="M10" s="17">
        <f>VLOOKUP(A10,'درآمد ناشی از تغییر قیمت  '!A7:Q25,17,0)</f>
        <v>-10074700</v>
      </c>
      <c r="N10" s="17"/>
      <c r="O10" s="17">
        <v>0</v>
      </c>
      <c r="P10" s="17"/>
      <c r="Q10" s="17">
        <f>K10+M10+O10</f>
        <v>-10074700</v>
      </c>
    </row>
    <row r="11" spans="1:17" ht="21" customHeight="1" thickBot="1">
      <c r="A11" s="161" t="s">
        <v>2</v>
      </c>
      <c r="B11" s="162"/>
      <c r="C11" s="218">
        <f>SUM(C10:C10)</f>
        <v>0</v>
      </c>
      <c r="D11" s="219">
        <f t="shared" ref="D11:P11" si="0">SUM(D10:D10)</f>
        <v>0</v>
      </c>
      <c r="E11" s="218">
        <f>SUM(E10:E10)</f>
        <v>-10074700</v>
      </c>
      <c r="F11" s="219">
        <f t="shared" si="0"/>
        <v>0</v>
      </c>
      <c r="G11" s="218">
        <f>SUM(G10:G10)</f>
        <v>0</v>
      </c>
      <c r="H11" s="219">
        <f t="shared" si="0"/>
        <v>0</v>
      </c>
      <c r="I11" s="218">
        <f>SUM(I10:I10)</f>
        <v>-10074700</v>
      </c>
      <c r="J11" s="219">
        <f t="shared" si="0"/>
        <v>0</v>
      </c>
      <c r="K11" s="218">
        <f>SUM(K10:K10)</f>
        <v>0</v>
      </c>
      <c r="L11" s="219">
        <f t="shared" si="0"/>
        <v>0</v>
      </c>
      <c r="M11" s="218">
        <f>SUM(M10:M10)</f>
        <v>-10074700</v>
      </c>
      <c r="N11" s="219">
        <f t="shared" si="0"/>
        <v>0</v>
      </c>
      <c r="O11" s="218">
        <f>SUM(O10:O10)</f>
        <v>0</v>
      </c>
      <c r="P11" s="219">
        <f t="shared" si="0"/>
        <v>0</v>
      </c>
      <c r="Q11" s="218">
        <f>SUM(Q10:Q10)</f>
        <v>-10074700</v>
      </c>
    </row>
    <row r="12" spans="1:17" ht="22.5" thickTop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7" s="17" customFormat="1"/>
    <row r="14" spans="1:17" s="17" customFormat="1"/>
    <row r="15" spans="1:17" s="17" customFormat="1"/>
    <row r="17" spans="15:17">
      <c r="O17" s="165"/>
      <c r="Q17" s="165"/>
    </row>
    <row r="18" spans="15:17">
      <c r="O18" s="121"/>
      <c r="Q18" s="121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N15"/>
  <sheetViews>
    <sheetView rightToLeft="1" view="pageBreakPreview" zoomScaleNormal="100" zoomScaleSheetLayoutView="100" workbookViewId="0">
      <selection activeCell="E14" sqref="E14"/>
    </sheetView>
  </sheetViews>
  <sheetFormatPr defaultColWidth="9.140625" defaultRowHeight="21.75"/>
  <cols>
    <col min="1" max="1" width="35.85546875" style="85" bestFit="1" customWidth="1"/>
    <col min="2" max="2" width="0.7109375" style="85" customWidth="1"/>
    <col min="3" max="3" width="22.85546875" style="85" customWidth="1"/>
    <col min="4" max="4" width="0.7109375" style="85" customWidth="1"/>
    <col min="5" max="5" width="18.42578125" style="49" customWidth="1"/>
    <col min="6" max="6" width="1.42578125" style="49" customWidth="1"/>
    <col min="7" max="7" width="21.7109375" style="49" customWidth="1"/>
    <col min="8" max="8" width="1.42578125" style="49" customWidth="1"/>
    <col min="9" max="9" width="26.140625" style="49" customWidth="1"/>
    <col min="10" max="10" width="1.28515625" style="85" customWidth="1"/>
    <col min="11" max="11" width="22" style="85" customWidth="1"/>
    <col min="12" max="12" width="0.7109375" style="85" customWidth="1"/>
    <col min="13" max="13" width="9.7109375" style="85" customWidth="1"/>
    <col min="14" max="14" width="15.42578125" style="85" bestFit="1" customWidth="1"/>
    <col min="15" max="16384" width="9.140625" style="85"/>
  </cols>
  <sheetData>
    <row r="1" spans="1:14" ht="22.5">
      <c r="A1" s="268" t="s">
        <v>94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4" ht="22.5">
      <c r="A2" s="268" t="s">
        <v>57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4" ht="22.5">
      <c r="A3" s="268" t="str">
        <f>' سهام'!A3:W3</f>
        <v>برای ماه منتهی به 1402/08/30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4">
      <c r="A4" s="252" t="s">
        <v>30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</row>
    <row r="5" spans="1:14" ht="22.5" thickBot="1">
      <c r="A5" s="75"/>
      <c r="B5" s="75"/>
      <c r="C5" s="75"/>
      <c r="D5" s="74"/>
      <c r="E5" s="11"/>
      <c r="F5" s="11"/>
      <c r="G5" s="11"/>
      <c r="H5" s="11"/>
      <c r="I5" s="11"/>
      <c r="J5" s="75"/>
      <c r="K5" s="75"/>
      <c r="L5" s="75"/>
    </row>
    <row r="6" spans="1:14" ht="37.5" customHeight="1" thickBot="1">
      <c r="A6" s="303" t="s">
        <v>20</v>
      </c>
      <c r="B6" s="303"/>
      <c r="C6" s="303"/>
      <c r="D6" s="184"/>
      <c r="E6" s="304" t="s">
        <v>130</v>
      </c>
      <c r="F6" s="304"/>
      <c r="G6" s="304"/>
      <c r="H6" s="304"/>
      <c r="I6" s="303" t="s">
        <v>131</v>
      </c>
      <c r="J6" s="303"/>
      <c r="K6" s="303"/>
      <c r="L6" s="303"/>
    </row>
    <row r="7" spans="1:14" ht="37.5">
      <c r="A7" s="157" t="s">
        <v>16</v>
      </c>
      <c r="B7" s="184"/>
      <c r="C7" s="157" t="s">
        <v>9</v>
      </c>
      <c r="D7" s="158"/>
      <c r="E7" s="46" t="s">
        <v>17</v>
      </c>
      <c r="F7" s="47"/>
      <c r="G7" s="46" t="s">
        <v>18</v>
      </c>
      <c r="H7" s="48"/>
      <c r="I7" s="46" t="s">
        <v>17</v>
      </c>
      <c r="J7" s="184"/>
      <c r="K7" s="157" t="s">
        <v>18</v>
      </c>
      <c r="L7" s="184"/>
    </row>
    <row r="8" spans="1:14" ht="27" customHeight="1">
      <c r="A8" s="159" t="s">
        <v>104</v>
      </c>
      <c r="B8" s="88"/>
      <c r="C8" s="82" t="s">
        <v>118</v>
      </c>
      <c r="D8" s="88"/>
      <c r="E8" s="13">
        <f>VLOOKUP(A8,'سود اوراق بهادار و سپرده بانکی'!$A$7:$R$10,8,0)</f>
        <v>161912</v>
      </c>
      <c r="F8" s="88"/>
      <c r="G8" s="160">
        <f>E8/$E$10</f>
        <v>0.9555036234449874</v>
      </c>
      <c r="H8" s="88"/>
      <c r="I8" s="13">
        <f>VLOOKUP(A8,'سود اوراق بهادار و سپرده بانکی'!$A$7:$R$10,18,0)</f>
        <v>161912</v>
      </c>
      <c r="J8" s="88"/>
      <c r="K8" s="160">
        <f>I8/$I$10</f>
        <v>0.9555036234449874</v>
      </c>
      <c r="L8" s="184"/>
      <c r="M8" s="121"/>
      <c r="N8" s="121"/>
    </row>
    <row r="9" spans="1:14" ht="27" customHeight="1" thickBot="1">
      <c r="A9" s="159" t="s">
        <v>105</v>
      </c>
      <c r="B9" s="88"/>
      <c r="C9" s="82" t="s">
        <v>106</v>
      </c>
      <c r="D9" s="88"/>
      <c r="E9" s="13">
        <f>VLOOKUP(A9,'سود اوراق بهادار و سپرده بانکی'!$A$7:$R$10,8,0)</f>
        <v>7540</v>
      </c>
      <c r="F9" s="88"/>
      <c r="G9" s="160">
        <f>E9/$E$10</f>
        <v>4.449637655501263E-2</v>
      </c>
      <c r="H9" s="88"/>
      <c r="I9" s="13">
        <f>VLOOKUP(A9,'سود اوراق بهادار و سپرده بانکی'!$A$7:$R$10,18,0)</f>
        <v>7540</v>
      </c>
      <c r="J9" s="88"/>
      <c r="K9" s="160">
        <f>I9/$I$10</f>
        <v>4.449637655501263E-2</v>
      </c>
      <c r="L9" s="184"/>
      <c r="M9" s="121"/>
      <c r="N9" s="121"/>
    </row>
    <row r="10" spans="1:14" ht="22.5" thickBot="1">
      <c r="A10" s="161" t="s">
        <v>2</v>
      </c>
      <c r="B10" s="162"/>
      <c r="D10" s="163"/>
      <c r="E10" s="220">
        <f>SUM(E8:E9)</f>
        <v>169452</v>
      </c>
      <c r="F10" s="88"/>
      <c r="G10" s="164">
        <f>SUM(G8:G9)</f>
        <v>1</v>
      </c>
      <c r="H10" s="88"/>
      <c r="I10" s="220">
        <f>SUM(I8:I9)</f>
        <v>169452</v>
      </c>
      <c r="J10" s="88"/>
      <c r="K10" s="164">
        <f>SUM(K8:K9)</f>
        <v>1</v>
      </c>
      <c r="L10" s="184"/>
    </row>
    <row r="11" spans="1:14" ht="22.5" thickTop="1">
      <c r="F11" s="88"/>
      <c r="H11" s="88"/>
      <c r="J11" s="88"/>
    </row>
    <row r="12" spans="1:14">
      <c r="E12" s="165"/>
      <c r="F12" s="85"/>
      <c r="G12" s="85"/>
      <c r="H12" s="85"/>
      <c r="I12" s="165"/>
    </row>
    <row r="13" spans="1:14">
      <c r="E13" s="121"/>
      <c r="F13" s="85"/>
      <c r="G13" s="85"/>
      <c r="H13" s="85"/>
      <c r="I13" s="121"/>
    </row>
    <row r="14" spans="1:14">
      <c r="I14" s="17"/>
    </row>
    <row r="15" spans="1:14">
      <c r="C15" s="121"/>
      <c r="E15" s="17"/>
      <c r="I15" s="17"/>
    </row>
  </sheetData>
  <autoFilter ref="A7:L7" xr:uid="{00000000-0009-0000-0000-00000B000000}">
    <sortState xmlns:xlrd2="http://schemas.microsoft.com/office/spreadsheetml/2017/richdata2" ref="A8:L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8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K17"/>
  <sheetViews>
    <sheetView rightToLeft="1" tabSelected="1" view="pageBreakPreview" zoomScaleNormal="100" zoomScaleSheetLayoutView="100" workbookViewId="0">
      <selection activeCell="C16" sqref="C16"/>
    </sheetView>
  </sheetViews>
  <sheetFormatPr defaultColWidth="9.140625" defaultRowHeight="18"/>
  <cols>
    <col min="1" max="1" width="32.42578125" style="74" customWidth="1"/>
    <col min="2" max="2" width="1.42578125" style="74" customWidth="1"/>
    <col min="3" max="3" width="17.7109375" style="74" bestFit="1" customWidth="1"/>
    <col min="4" max="4" width="0.85546875" style="74" customWidth="1"/>
    <col min="5" max="5" width="18.140625" style="74" customWidth="1"/>
    <col min="6" max="6" width="9.140625" style="74"/>
    <col min="7" max="7" width="11.28515625" style="74" bestFit="1" customWidth="1"/>
    <col min="8" max="8" width="10.85546875" style="74" bestFit="1" customWidth="1"/>
    <col min="9" max="9" width="9.140625" style="74"/>
    <col min="10" max="10" width="9.85546875" style="74" bestFit="1" customWidth="1"/>
    <col min="11" max="11" width="11.28515625" style="74" bestFit="1" customWidth="1"/>
    <col min="12" max="16384" width="9.140625" style="74"/>
  </cols>
  <sheetData>
    <row r="1" spans="1:11" s="166" customFormat="1" ht="18.75">
      <c r="A1" s="249" t="s">
        <v>94</v>
      </c>
      <c r="B1" s="249"/>
      <c r="C1" s="249"/>
      <c r="D1" s="249"/>
      <c r="E1" s="249"/>
    </row>
    <row r="2" spans="1:11" s="166" customFormat="1" ht="18.75">
      <c r="A2" s="249" t="s">
        <v>57</v>
      </c>
      <c r="B2" s="249"/>
      <c r="C2" s="249"/>
      <c r="D2" s="249"/>
      <c r="E2" s="249"/>
    </row>
    <row r="3" spans="1:11" s="166" customFormat="1" ht="18.75">
      <c r="A3" s="249" t="str">
        <f>' سهام'!A3:W3</f>
        <v>برای ماه منتهی به 1402/08/30</v>
      </c>
      <c r="B3" s="249"/>
      <c r="C3" s="249"/>
      <c r="D3" s="249"/>
      <c r="E3" s="249"/>
    </row>
    <row r="4" spans="1:11" ht="18.75">
      <c r="A4" s="252" t="s">
        <v>31</v>
      </c>
      <c r="B4" s="252"/>
      <c r="C4" s="252"/>
      <c r="D4" s="252"/>
      <c r="E4" s="252"/>
    </row>
    <row r="5" spans="1:11" ht="49.5" customHeight="1" thickBot="1">
      <c r="A5" s="167"/>
      <c r="B5" s="168"/>
      <c r="C5" s="183" t="s">
        <v>130</v>
      </c>
      <c r="D5" s="184"/>
      <c r="E5" s="183" t="s">
        <v>131</v>
      </c>
    </row>
    <row r="6" spans="1:11" ht="16.5" customHeight="1">
      <c r="A6" s="301"/>
      <c r="B6" s="302"/>
      <c r="C6" s="298" t="s">
        <v>6</v>
      </c>
      <c r="D6" s="158"/>
      <c r="E6" s="298" t="s">
        <v>6</v>
      </c>
    </row>
    <row r="7" spans="1:11" ht="18.75" thickBot="1">
      <c r="A7" s="302"/>
      <c r="B7" s="302"/>
      <c r="C7" s="300"/>
      <c r="D7" s="169"/>
      <c r="E7" s="300"/>
    </row>
    <row r="8" spans="1:11">
      <c r="A8" s="184" t="s">
        <v>32</v>
      </c>
      <c r="B8" s="184"/>
      <c r="C8" s="13">
        <v>18434597</v>
      </c>
      <c r="D8" s="13"/>
      <c r="E8" s="13">
        <v>18434597</v>
      </c>
      <c r="F8" s="84"/>
      <c r="G8" s="113"/>
      <c r="H8" s="113"/>
      <c r="J8" s="84"/>
      <c r="K8" s="84"/>
    </row>
    <row r="9" spans="1:11">
      <c r="A9" s="184" t="s">
        <v>108</v>
      </c>
      <c r="B9" s="184"/>
      <c r="C9" s="13">
        <v>265983</v>
      </c>
      <c r="D9" s="13">
        <v>27449510</v>
      </c>
      <c r="E9" s="13">
        <v>265983</v>
      </c>
      <c r="F9" s="170"/>
      <c r="G9" s="113"/>
      <c r="I9" s="84"/>
      <c r="J9" s="84"/>
    </row>
    <row r="10" spans="1:11" ht="18.75" thickBot="1">
      <c r="A10" s="171" t="s">
        <v>2</v>
      </c>
      <c r="B10" s="184"/>
      <c r="C10" s="127">
        <f>SUM(C8:C9)</f>
        <v>18700580</v>
      </c>
      <c r="D10" s="13"/>
      <c r="E10" s="127">
        <f>SUM(E8:E9)</f>
        <v>18700580</v>
      </c>
    </row>
    <row r="11" spans="1:11" ht="18.75" thickTop="1">
      <c r="A11" s="184"/>
      <c r="D11" s="13"/>
    </row>
    <row r="12" spans="1:11">
      <c r="C12" s="172"/>
      <c r="E12" s="172"/>
    </row>
    <row r="13" spans="1:11">
      <c r="E13" s="221"/>
    </row>
    <row r="14" spans="1:11">
      <c r="E14" s="221"/>
    </row>
    <row r="15" spans="1:11">
      <c r="E15" s="172"/>
    </row>
    <row r="16" spans="1:11">
      <c r="C16" s="84"/>
      <c r="E16" s="172"/>
    </row>
    <row r="17" spans="5:5">
      <c r="E17" s="84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3"/>
  <sheetViews>
    <sheetView rightToLeft="1" view="pageBreakPreview" zoomScale="60" zoomScaleNormal="100" workbookViewId="0">
      <selection activeCell="I30" sqref="I30"/>
    </sheetView>
  </sheetViews>
  <sheetFormatPr defaultColWidth="9.140625" defaultRowHeight="30.75"/>
  <cols>
    <col min="1" max="1" width="55.42578125" style="62" bestFit="1" customWidth="1"/>
    <col min="2" max="2" width="1.85546875" style="62" customWidth="1"/>
    <col min="3" max="3" width="22.5703125" style="4" customWidth="1"/>
    <col min="4" max="4" width="1.140625" style="4" customWidth="1"/>
    <col min="5" max="5" width="32" style="4" customWidth="1"/>
    <col min="6" max="6" width="1.42578125" style="4" customWidth="1"/>
    <col min="7" max="7" width="32.140625" style="4" customWidth="1"/>
    <col min="8" max="8" width="1.5703125" style="4" customWidth="1"/>
    <col min="9" max="9" width="20.5703125" style="4" bestFit="1" customWidth="1"/>
    <col min="10" max="10" width="29.140625" style="4" bestFit="1" customWidth="1"/>
    <col min="11" max="11" width="1.42578125" style="4" customWidth="1"/>
    <col min="12" max="12" width="20.7109375" style="4" customWidth="1"/>
    <col min="13" max="13" width="29.140625" style="4" customWidth="1"/>
    <col min="14" max="14" width="1.140625" style="4" customWidth="1"/>
    <col min="15" max="15" width="22.5703125" style="4" bestFit="1" customWidth="1"/>
    <col min="16" max="16" width="1.42578125" style="4" customWidth="1"/>
    <col min="17" max="17" width="18.7109375" style="4" customWidth="1"/>
    <col min="18" max="18" width="1.5703125" style="4" customWidth="1"/>
    <col min="19" max="19" width="32" style="4" bestFit="1" customWidth="1"/>
    <col min="20" max="20" width="1.85546875" style="4" customWidth="1"/>
    <col min="21" max="21" width="37.42578125" style="4" bestFit="1" customWidth="1"/>
    <col min="22" max="22" width="1.5703125" style="62" customWidth="1"/>
    <col min="23" max="23" width="21.85546875" style="9" customWidth="1"/>
    <col min="24" max="24" width="21.140625" style="4" bestFit="1" customWidth="1"/>
    <col min="25" max="25" width="14.140625" style="4" bestFit="1" customWidth="1"/>
    <col min="26" max="26" width="9.140625" style="62"/>
    <col min="27" max="28" width="14.85546875" style="5" bestFit="1" customWidth="1"/>
    <col min="29" max="29" width="17.140625" style="62" bestFit="1" customWidth="1"/>
    <col min="30" max="16384" width="9.140625" style="62"/>
  </cols>
  <sheetData>
    <row r="1" spans="1:33" ht="31.5">
      <c r="A1" s="223" t="s">
        <v>94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</row>
    <row r="2" spans="1:33" ht="31.5">
      <c r="A2" s="223" t="s">
        <v>51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</row>
    <row r="3" spans="1:33" ht="31.5">
      <c r="A3" s="223" t="s">
        <v>129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</row>
    <row r="4" spans="1:33" ht="31.5">
      <c r="A4" s="231" t="s">
        <v>25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</row>
    <row r="5" spans="1:33" ht="31.5">
      <c r="A5" s="231" t="s">
        <v>26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</row>
    <row r="7" spans="1:33" ht="36.75" customHeight="1" thickBot="1">
      <c r="A7" s="63"/>
      <c r="B7" s="64"/>
      <c r="C7" s="233" t="s">
        <v>119</v>
      </c>
      <c r="D7" s="233"/>
      <c r="E7" s="233"/>
      <c r="F7" s="233"/>
      <c r="G7" s="233"/>
      <c r="H7" s="6"/>
      <c r="I7" s="232" t="s">
        <v>7</v>
      </c>
      <c r="J7" s="232"/>
      <c r="K7" s="232"/>
      <c r="L7" s="232"/>
      <c r="M7" s="232"/>
      <c r="O7" s="234" t="s">
        <v>126</v>
      </c>
      <c r="P7" s="234"/>
      <c r="Q7" s="234"/>
      <c r="R7" s="234"/>
      <c r="S7" s="234"/>
      <c r="T7" s="234"/>
      <c r="U7" s="234"/>
      <c r="V7" s="234"/>
      <c r="W7" s="234"/>
    </row>
    <row r="8" spans="1:33" ht="29.25" customHeight="1">
      <c r="A8" s="224" t="s">
        <v>1</v>
      </c>
      <c r="B8" s="65"/>
      <c r="C8" s="228" t="s">
        <v>3</v>
      </c>
      <c r="D8" s="230"/>
      <c r="E8" s="228" t="s">
        <v>0</v>
      </c>
      <c r="F8" s="230"/>
      <c r="G8" s="230" t="s">
        <v>21</v>
      </c>
      <c r="H8" s="55"/>
      <c r="I8" s="226" t="s">
        <v>4</v>
      </c>
      <c r="J8" s="226"/>
      <c r="K8" s="7"/>
      <c r="L8" s="226" t="s">
        <v>5</v>
      </c>
      <c r="M8" s="226"/>
      <c r="O8" s="228" t="s">
        <v>3</v>
      </c>
      <c r="P8" s="227"/>
      <c r="Q8" s="230" t="s">
        <v>33</v>
      </c>
      <c r="R8" s="176"/>
      <c r="S8" s="228" t="s">
        <v>0</v>
      </c>
      <c r="T8" s="227"/>
      <c r="U8" s="230" t="s">
        <v>21</v>
      </c>
      <c r="V8" s="66"/>
      <c r="W8" s="236" t="s">
        <v>22</v>
      </c>
    </row>
    <row r="9" spans="1:33" ht="49.5" customHeight="1" thickBot="1">
      <c r="A9" s="225"/>
      <c r="B9" s="65"/>
      <c r="C9" s="229"/>
      <c r="D9" s="227"/>
      <c r="E9" s="229"/>
      <c r="F9" s="227"/>
      <c r="G9" s="235"/>
      <c r="H9" s="55"/>
      <c r="I9" s="177" t="s">
        <v>3</v>
      </c>
      <c r="J9" s="177" t="s">
        <v>0</v>
      </c>
      <c r="K9" s="7"/>
      <c r="L9" s="177" t="s">
        <v>3</v>
      </c>
      <c r="M9" s="177" t="s">
        <v>50</v>
      </c>
      <c r="O9" s="229"/>
      <c r="P9" s="227"/>
      <c r="Q9" s="235"/>
      <c r="R9" s="176"/>
      <c r="S9" s="229"/>
      <c r="T9" s="227"/>
      <c r="U9" s="235"/>
      <c r="V9" s="66"/>
      <c r="W9" s="237"/>
    </row>
    <row r="10" spans="1:33" ht="28.5" customHeight="1">
      <c r="A10" s="4" t="s">
        <v>109</v>
      </c>
      <c r="C10" s="185">
        <v>33664</v>
      </c>
      <c r="E10" s="4">
        <v>1048777109</v>
      </c>
      <c r="G10" s="185">
        <v>917909272</v>
      </c>
      <c r="I10" s="4">
        <v>0</v>
      </c>
      <c r="J10" s="4">
        <v>0</v>
      </c>
      <c r="K10" s="67"/>
      <c r="L10" s="4">
        <v>0</v>
      </c>
      <c r="O10" s="4">
        <v>33664</v>
      </c>
      <c r="Q10" s="186">
        <v>29620</v>
      </c>
      <c r="S10" s="4">
        <v>1048777109</v>
      </c>
      <c r="U10" s="185">
        <v>991194774</v>
      </c>
      <c r="V10" s="67"/>
      <c r="W10" s="8">
        <f>U10/درآمدها!$J$5</f>
        <v>4.7199967406140186E-3</v>
      </c>
      <c r="Z10" s="68"/>
      <c r="AC10" s="68"/>
      <c r="AD10" s="69"/>
      <c r="AE10" s="68"/>
      <c r="AF10" s="69"/>
      <c r="AG10" s="68"/>
    </row>
    <row r="11" spans="1:33" ht="28.5" customHeight="1">
      <c r="A11" s="4" t="s">
        <v>110</v>
      </c>
      <c r="C11" s="185">
        <v>14837776</v>
      </c>
      <c r="E11" s="4">
        <v>80336879712</v>
      </c>
      <c r="G11" s="185">
        <v>71372788082</v>
      </c>
      <c r="I11" s="4">
        <v>0</v>
      </c>
      <c r="J11" s="4">
        <v>0</v>
      </c>
      <c r="K11" s="67"/>
      <c r="L11" s="4">
        <v>2000000</v>
      </c>
      <c r="M11" s="4">
        <v>13151282424</v>
      </c>
      <c r="O11" s="4">
        <v>12837776</v>
      </c>
      <c r="Q11" s="186">
        <v>6748</v>
      </c>
      <c r="S11" s="4">
        <v>69508184130</v>
      </c>
      <c r="U11" s="185">
        <v>86113868043</v>
      </c>
      <c r="V11" s="67"/>
      <c r="W11" s="8">
        <f>U11/درآمدها!$J$5</f>
        <v>0.41006791717066265</v>
      </c>
      <c r="Z11" s="68"/>
      <c r="AC11" s="68"/>
      <c r="AD11" s="69"/>
      <c r="AE11" s="68"/>
      <c r="AF11" s="69"/>
      <c r="AG11" s="68"/>
    </row>
    <row r="12" spans="1:33" ht="28.5" customHeight="1">
      <c r="A12" s="4" t="s">
        <v>111</v>
      </c>
      <c r="C12" s="185">
        <v>397342</v>
      </c>
      <c r="E12" s="4">
        <v>5018655633</v>
      </c>
      <c r="G12" s="185">
        <v>5383547622</v>
      </c>
      <c r="I12" s="4">
        <v>0</v>
      </c>
      <c r="J12" s="4">
        <v>0</v>
      </c>
      <c r="K12" s="67"/>
      <c r="L12" s="4">
        <v>2548</v>
      </c>
      <c r="M12" s="4">
        <v>33286198</v>
      </c>
      <c r="O12" s="4">
        <v>394794</v>
      </c>
      <c r="Q12" s="186">
        <v>13670</v>
      </c>
      <c r="S12" s="4">
        <v>4986472943</v>
      </c>
      <c r="U12" s="185">
        <v>5364722820</v>
      </c>
      <c r="V12" s="67"/>
      <c r="W12" s="8">
        <f>U12/درآمدها!$J$5</f>
        <v>2.5546416192765001E-2</v>
      </c>
      <c r="Z12" s="68"/>
      <c r="AC12" s="68"/>
      <c r="AD12" s="69"/>
      <c r="AE12" s="68"/>
      <c r="AF12" s="69"/>
      <c r="AG12" s="68"/>
    </row>
    <row r="13" spans="1:33" ht="28.5" customHeight="1">
      <c r="A13" s="4" t="s">
        <v>95</v>
      </c>
      <c r="C13" s="185">
        <v>1006198</v>
      </c>
      <c r="E13" s="4">
        <v>11526058713</v>
      </c>
      <c r="G13" s="185">
        <v>10512218894</v>
      </c>
      <c r="I13" s="4">
        <v>0</v>
      </c>
      <c r="J13" s="4">
        <v>0</v>
      </c>
      <c r="K13" s="67"/>
      <c r="L13" s="4">
        <v>70596</v>
      </c>
      <c r="M13" s="4">
        <v>771394979</v>
      </c>
      <c r="O13" s="4">
        <v>935602</v>
      </c>
      <c r="Q13" s="186">
        <v>10990</v>
      </c>
      <c r="S13" s="4">
        <v>10717377279</v>
      </c>
      <c r="U13" s="185">
        <v>10221086502</v>
      </c>
      <c r="V13" s="67"/>
      <c r="W13" s="8">
        <f>U13/درآمدها!$J$5</f>
        <v>4.8672063493924292E-2</v>
      </c>
      <c r="Z13" s="68"/>
      <c r="AC13" s="68"/>
      <c r="AD13" s="69"/>
      <c r="AE13" s="68"/>
      <c r="AF13" s="69"/>
      <c r="AG13" s="68"/>
    </row>
    <row r="14" spans="1:33" ht="28.5" customHeight="1">
      <c r="A14" s="4" t="s">
        <v>96</v>
      </c>
      <c r="C14" s="185">
        <v>1776163</v>
      </c>
      <c r="E14" s="4">
        <v>6561813559</v>
      </c>
      <c r="G14" s="185">
        <v>5420376132</v>
      </c>
      <c r="I14" s="4">
        <v>0</v>
      </c>
      <c r="J14" s="4">
        <v>0</v>
      </c>
      <c r="K14" s="67"/>
      <c r="L14" s="4">
        <v>11393</v>
      </c>
      <c r="M14" s="4">
        <v>34246973</v>
      </c>
      <c r="O14" s="4">
        <v>1764770</v>
      </c>
      <c r="Q14" s="186">
        <v>3050</v>
      </c>
      <c r="S14" s="4">
        <v>6519723536</v>
      </c>
      <c r="U14" s="185">
        <v>5350522340</v>
      </c>
      <c r="V14" s="67"/>
      <c r="W14" s="8">
        <f>U14/درآمدها!$J$5</f>
        <v>2.5478794549599282E-2</v>
      </c>
      <c r="Z14" s="68"/>
      <c r="AC14" s="68"/>
      <c r="AD14" s="69"/>
      <c r="AE14" s="68"/>
      <c r="AF14" s="69"/>
      <c r="AG14" s="68"/>
    </row>
    <row r="15" spans="1:33" ht="28.5" customHeight="1">
      <c r="A15" s="4" t="s">
        <v>112</v>
      </c>
      <c r="C15" s="185">
        <v>89099</v>
      </c>
      <c r="E15" s="4">
        <v>2063079002</v>
      </c>
      <c r="G15" s="185">
        <v>1928144106</v>
      </c>
      <c r="I15" s="4">
        <v>0</v>
      </c>
      <c r="J15" s="4">
        <v>0</v>
      </c>
      <c r="K15" s="67"/>
      <c r="L15" s="4">
        <v>571</v>
      </c>
      <c r="M15" s="4">
        <v>12339440</v>
      </c>
      <c r="O15" s="4">
        <v>88528</v>
      </c>
      <c r="Q15" s="186">
        <v>25070</v>
      </c>
      <c r="S15" s="4">
        <v>2049857551</v>
      </c>
      <c r="U15" s="185">
        <v>2206191553</v>
      </c>
      <c r="V15" s="67"/>
      <c r="W15" s="8">
        <f>U15/درآمدها!$J$5</f>
        <v>1.0505722197573026E-2</v>
      </c>
      <c r="Z15" s="68"/>
      <c r="AC15" s="68"/>
      <c r="AD15" s="69"/>
      <c r="AE15" s="68"/>
      <c r="AF15" s="69"/>
      <c r="AG15" s="68"/>
    </row>
    <row r="16" spans="1:33" ht="28.5" customHeight="1">
      <c r="A16" s="4" t="s">
        <v>97</v>
      </c>
      <c r="C16" s="185">
        <v>550039</v>
      </c>
      <c r="E16" s="4">
        <v>11905729714</v>
      </c>
      <c r="G16" s="185">
        <v>11186837847</v>
      </c>
      <c r="I16" s="4">
        <v>0</v>
      </c>
      <c r="J16" s="4">
        <v>0</v>
      </c>
      <c r="K16" s="67"/>
      <c r="L16" s="4">
        <v>22699</v>
      </c>
      <c r="M16" s="4">
        <v>471805898</v>
      </c>
      <c r="O16" s="4">
        <v>527340</v>
      </c>
      <c r="Q16" s="186">
        <v>20470</v>
      </c>
      <c r="S16" s="4">
        <v>11414404265</v>
      </c>
      <c r="U16" s="185">
        <v>10730421638</v>
      </c>
      <c r="V16" s="67"/>
      <c r="W16" s="8">
        <f>U16/درآمدها!$J$5</f>
        <v>5.1097480016348569E-2</v>
      </c>
      <c r="Z16" s="68"/>
      <c r="AC16" s="68"/>
      <c r="AD16" s="69"/>
      <c r="AE16" s="68"/>
      <c r="AF16" s="69"/>
      <c r="AG16" s="68"/>
    </row>
    <row r="17" spans="1:33" ht="28.5" customHeight="1">
      <c r="A17" s="4" t="s">
        <v>98</v>
      </c>
      <c r="C17" s="185">
        <v>306155</v>
      </c>
      <c r="E17" s="4">
        <v>7209010386</v>
      </c>
      <c r="G17" s="185">
        <v>5770160846</v>
      </c>
      <c r="I17" s="4">
        <v>0</v>
      </c>
      <c r="J17" s="4">
        <v>0</v>
      </c>
      <c r="K17" s="67"/>
      <c r="L17" s="4">
        <v>1963</v>
      </c>
      <c r="M17" s="4">
        <v>34957972</v>
      </c>
      <c r="O17" s="4">
        <v>304192</v>
      </c>
      <c r="Q17" s="186">
        <v>17640</v>
      </c>
      <c r="S17" s="4">
        <v>7162787762</v>
      </c>
      <c r="U17" s="185">
        <v>5334019500</v>
      </c>
      <c r="V17" s="67"/>
      <c r="W17" s="8">
        <f>U17/درآمدها!$J$5</f>
        <v>2.5400209237152027E-2</v>
      </c>
      <c r="Z17" s="68"/>
      <c r="AC17" s="68"/>
      <c r="AD17" s="69"/>
      <c r="AE17" s="68"/>
      <c r="AF17" s="69"/>
      <c r="AG17" s="68"/>
    </row>
    <row r="18" spans="1:33" ht="28.5" customHeight="1">
      <c r="A18" s="4" t="s">
        <v>99</v>
      </c>
      <c r="C18" s="185">
        <v>427232</v>
      </c>
      <c r="E18" s="4">
        <v>8221261204</v>
      </c>
      <c r="G18" s="185">
        <v>6569953833</v>
      </c>
      <c r="I18" s="4">
        <v>0</v>
      </c>
      <c r="J18" s="4">
        <v>0</v>
      </c>
      <c r="K18" s="67"/>
      <c r="L18" s="4">
        <v>2739</v>
      </c>
      <c r="M18" s="4">
        <v>41847962</v>
      </c>
      <c r="O18" s="4">
        <v>424493</v>
      </c>
      <c r="Q18" s="186">
        <v>15220</v>
      </c>
      <c r="S18" s="4">
        <v>8168554398</v>
      </c>
      <c r="U18" s="185">
        <v>6422341801</v>
      </c>
      <c r="V18" s="67"/>
      <c r="W18" s="8">
        <f>U18/درآمدها!$J$5</f>
        <v>3.0582720130270951E-2</v>
      </c>
      <c r="Z18" s="68"/>
      <c r="AC18" s="70"/>
      <c r="AD18" s="69"/>
      <c r="AE18" s="68"/>
      <c r="AF18" s="69"/>
      <c r="AG18" s="68"/>
    </row>
    <row r="19" spans="1:33" ht="28.5" customHeight="1">
      <c r="A19" s="4" t="s">
        <v>113</v>
      </c>
      <c r="C19" s="185">
        <v>214225</v>
      </c>
      <c r="E19" s="4">
        <v>3257432044</v>
      </c>
      <c r="G19" s="185">
        <v>3094168752</v>
      </c>
      <c r="I19" s="4">
        <v>0</v>
      </c>
      <c r="J19" s="4">
        <v>0</v>
      </c>
      <c r="K19" s="67"/>
      <c r="L19" s="4">
        <v>1374</v>
      </c>
      <c r="M19" s="4">
        <v>19976130</v>
      </c>
      <c r="O19" s="4">
        <v>212851</v>
      </c>
      <c r="Q19" s="186">
        <v>15360</v>
      </c>
      <c r="S19" s="4">
        <v>3236539470</v>
      </c>
      <c r="U19" s="185">
        <v>3249938485</v>
      </c>
      <c r="V19" s="67"/>
      <c r="W19" s="8">
        <f>U19/درآمدها!$J$5</f>
        <v>1.5475968456221966E-2</v>
      </c>
      <c r="Z19" s="68"/>
      <c r="AC19" s="68"/>
      <c r="AD19" s="69"/>
      <c r="AE19" s="68"/>
      <c r="AF19" s="69"/>
      <c r="AG19" s="68"/>
    </row>
    <row r="20" spans="1:33" ht="28.5" customHeight="1">
      <c r="A20" s="4" t="s">
        <v>117</v>
      </c>
      <c r="C20" s="185">
        <v>5650000</v>
      </c>
      <c r="E20" s="4">
        <v>38159404804</v>
      </c>
      <c r="G20" s="185">
        <v>30272301675</v>
      </c>
      <c r="I20" s="4">
        <v>0</v>
      </c>
      <c r="J20" s="4">
        <v>0</v>
      </c>
      <c r="K20" s="67"/>
      <c r="L20" s="4">
        <v>0</v>
      </c>
      <c r="O20" s="4">
        <v>5650000</v>
      </c>
      <c r="Q20" s="186">
        <v>5120</v>
      </c>
      <c r="S20" s="4">
        <v>38159404804</v>
      </c>
      <c r="U20" s="185">
        <v>28755878400</v>
      </c>
      <c r="V20" s="67"/>
      <c r="W20" s="8">
        <f>U20/درآمدها!$J$5</f>
        <v>0.13693338169425523</v>
      </c>
      <c r="Z20" s="68"/>
      <c r="AC20" s="68"/>
      <c r="AD20" s="69"/>
      <c r="AE20" s="68"/>
      <c r="AF20" s="69"/>
      <c r="AG20" s="68"/>
    </row>
    <row r="21" spans="1:33" ht="28.5" customHeight="1">
      <c r="A21" s="4" t="s">
        <v>114</v>
      </c>
      <c r="C21" s="185">
        <v>7881</v>
      </c>
      <c r="E21" s="4">
        <v>756434220</v>
      </c>
      <c r="G21" s="185">
        <v>627198694</v>
      </c>
      <c r="I21" s="4">
        <v>0</v>
      </c>
      <c r="J21" s="4">
        <v>0</v>
      </c>
      <c r="K21" s="67"/>
      <c r="L21" s="4">
        <v>0</v>
      </c>
      <c r="O21" s="4">
        <v>7881</v>
      </c>
      <c r="Q21" s="186">
        <v>90670</v>
      </c>
      <c r="S21" s="4">
        <v>756434220</v>
      </c>
      <c r="U21" s="185">
        <v>710318579</v>
      </c>
      <c r="V21" s="67"/>
      <c r="W21" s="8">
        <f>U21/درآمدها!$J$5</f>
        <v>3.3824849218561165E-3</v>
      </c>
      <c r="Z21" s="68"/>
      <c r="AC21" s="68"/>
      <c r="AD21" s="69"/>
      <c r="AE21" s="68"/>
      <c r="AF21" s="69"/>
      <c r="AG21" s="68"/>
    </row>
    <row r="22" spans="1:33" ht="28.5" customHeight="1">
      <c r="A22" s="4" t="s">
        <v>115</v>
      </c>
      <c r="C22" s="185">
        <v>79954</v>
      </c>
      <c r="E22" s="4">
        <v>2038619608</v>
      </c>
      <c r="G22" s="185">
        <v>1829589863</v>
      </c>
      <c r="I22" s="4">
        <v>0</v>
      </c>
      <c r="J22" s="4">
        <v>0</v>
      </c>
      <c r="K22" s="67"/>
      <c r="L22" s="4">
        <v>277</v>
      </c>
      <c r="M22" s="4">
        <v>6178899</v>
      </c>
      <c r="O22" s="4">
        <v>79677</v>
      </c>
      <c r="Q22" s="186">
        <v>23700</v>
      </c>
      <c r="S22" s="4">
        <v>2031556827</v>
      </c>
      <c r="U22" s="185">
        <v>1877109250</v>
      </c>
      <c r="V22" s="67"/>
      <c r="W22" s="8">
        <f>U22/درآمدها!$J$5</f>
        <v>8.9386564317947299E-3</v>
      </c>
      <c r="Z22" s="68"/>
      <c r="AC22" s="68"/>
      <c r="AD22" s="69"/>
      <c r="AE22" s="68"/>
      <c r="AF22" s="69"/>
      <c r="AG22" s="68"/>
    </row>
    <row r="23" spans="1:33" ht="28.5" customHeight="1">
      <c r="A23" s="4" t="s">
        <v>100</v>
      </c>
      <c r="C23" s="185">
        <v>185640</v>
      </c>
      <c r="E23" s="4">
        <v>10733879251</v>
      </c>
      <c r="G23" s="185">
        <v>8110332678</v>
      </c>
      <c r="I23" s="4">
        <v>0</v>
      </c>
      <c r="J23" s="4">
        <v>0</v>
      </c>
      <c r="K23" s="67"/>
      <c r="L23" s="4">
        <v>1189</v>
      </c>
      <c r="M23" s="4">
        <v>50912580</v>
      </c>
      <c r="O23" s="4">
        <v>184451</v>
      </c>
      <c r="Q23" s="186">
        <v>41460</v>
      </c>
      <c r="S23" s="4">
        <v>10665130154</v>
      </c>
      <c r="U23" s="185">
        <v>7601836798</v>
      </c>
      <c r="V23" s="67"/>
      <c r="W23" s="8">
        <f>U23/درآمدها!$J$5</f>
        <v>3.619938870787439E-2</v>
      </c>
      <c r="Z23" s="68"/>
      <c r="AC23" s="68"/>
      <c r="AD23" s="69"/>
      <c r="AE23" s="68"/>
      <c r="AF23" s="69"/>
      <c r="AG23" s="68"/>
    </row>
    <row r="24" spans="1:33" ht="28.5" customHeight="1">
      <c r="A24" s="4" t="s">
        <v>101</v>
      </c>
      <c r="C24" s="185">
        <v>345937</v>
      </c>
      <c r="E24" s="4">
        <v>11658798133</v>
      </c>
      <c r="G24" s="185">
        <v>8535068714</v>
      </c>
      <c r="I24" s="4">
        <v>0</v>
      </c>
      <c r="J24" s="4">
        <v>0</v>
      </c>
      <c r="K24" s="67"/>
      <c r="L24" s="4">
        <v>2218</v>
      </c>
      <c r="M24" s="4">
        <v>52406358</v>
      </c>
      <c r="O24" s="4">
        <v>343719</v>
      </c>
      <c r="Q24" s="186">
        <v>23460</v>
      </c>
      <c r="S24" s="4">
        <v>11584046909</v>
      </c>
      <c r="U24" s="185">
        <v>8015669040</v>
      </c>
      <c r="V24" s="67"/>
      <c r="W24" s="8">
        <f>U24/درآمدها!$J$5</f>
        <v>3.8170027460859776E-2</v>
      </c>
      <c r="Z24" s="68"/>
      <c r="AC24" s="68"/>
      <c r="AD24" s="69"/>
      <c r="AE24" s="68"/>
      <c r="AF24" s="69"/>
      <c r="AG24" s="68"/>
    </row>
    <row r="25" spans="1:33" ht="28.5" customHeight="1">
      <c r="A25" s="4" t="s">
        <v>116</v>
      </c>
      <c r="C25" s="185">
        <v>4559</v>
      </c>
      <c r="E25" s="4">
        <v>119097372</v>
      </c>
      <c r="G25" s="185">
        <v>119550839</v>
      </c>
      <c r="I25" s="4">
        <v>0</v>
      </c>
      <c r="J25" s="4">
        <v>0</v>
      </c>
      <c r="K25" s="67"/>
      <c r="L25" s="4">
        <v>0</v>
      </c>
      <c r="O25" s="4">
        <v>4559</v>
      </c>
      <c r="Q25" s="186">
        <v>24520</v>
      </c>
      <c r="S25" s="4">
        <v>119097372</v>
      </c>
      <c r="U25" s="185">
        <v>111121553</v>
      </c>
      <c r="V25" s="67"/>
      <c r="W25" s="8">
        <f>U25/درآمدها!$J$5</f>
        <v>5.2915267688040488E-4</v>
      </c>
      <c r="Z25" s="68"/>
      <c r="AC25" s="68"/>
      <c r="AD25" s="69"/>
      <c r="AE25" s="68"/>
      <c r="AF25" s="69"/>
      <c r="AG25" s="68"/>
    </row>
    <row r="26" spans="1:33" ht="28.5" customHeight="1">
      <c r="A26" s="4" t="s">
        <v>102</v>
      </c>
      <c r="C26" s="185">
        <v>543303</v>
      </c>
      <c r="E26" s="4">
        <v>11834777734</v>
      </c>
      <c r="G26" s="185">
        <v>10131719717</v>
      </c>
      <c r="I26" s="4">
        <v>0</v>
      </c>
      <c r="J26" s="4">
        <v>0</v>
      </c>
      <c r="K26" s="67"/>
      <c r="L26" s="4">
        <v>3484</v>
      </c>
      <c r="M26" s="4">
        <v>62545808</v>
      </c>
      <c r="O26" s="4">
        <v>539819</v>
      </c>
      <c r="Q26" s="186">
        <v>18540</v>
      </c>
      <c r="S26" s="4">
        <v>11758885708</v>
      </c>
      <c r="U26" s="185">
        <v>9948695210</v>
      </c>
      <c r="V26" s="67"/>
      <c r="W26" s="8">
        <f>U26/درآمدها!$J$5</f>
        <v>4.7374956160293774E-2</v>
      </c>
      <c r="Z26" s="68"/>
      <c r="AC26" s="68"/>
      <c r="AD26" s="69"/>
      <c r="AE26" s="68"/>
      <c r="AF26" s="69"/>
      <c r="AG26" s="68"/>
    </row>
    <row r="27" spans="1:33" ht="28.5" customHeight="1">
      <c r="A27" s="4" t="s">
        <v>103</v>
      </c>
      <c r="C27" s="185">
        <v>2845502</v>
      </c>
      <c r="E27" s="4">
        <v>9969156623</v>
      </c>
      <c r="G27" s="185">
        <v>11090827926</v>
      </c>
      <c r="I27" s="4">
        <v>0</v>
      </c>
      <c r="J27" s="4">
        <v>0</v>
      </c>
      <c r="K27" s="67"/>
      <c r="L27" s="4">
        <v>10790</v>
      </c>
      <c r="M27" s="4">
        <v>41045414</v>
      </c>
      <c r="O27" s="4">
        <v>2834712</v>
      </c>
      <c r="Q27" s="186">
        <v>3757</v>
      </c>
      <c r="S27" s="4">
        <v>9931354085</v>
      </c>
      <c r="U27" s="185">
        <v>10586645411</v>
      </c>
      <c r="V27" s="67"/>
      <c r="W27" s="8">
        <f>U27/درآمدها!$J$5</f>
        <v>5.0412828179374918E-2</v>
      </c>
      <c r="Z27" s="68"/>
      <c r="AC27" s="68"/>
      <c r="AD27" s="69"/>
      <c r="AE27" s="68"/>
      <c r="AF27" s="69"/>
      <c r="AG27" s="68"/>
    </row>
    <row r="28" spans="1:33" ht="28.5" customHeight="1" thickBot="1">
      <c r="A28" s="4" t="s">
        <v>2</v>
      </c>
      <c r="C28" s="185"/>
      <c r="E28" s="71">
        <f>SUM(E10:E27)</f>
        <v>222418864821</v>
      </c>
      <c r="G28" s="187">
        <f>SUM(G10:G27)</f>
        <v>192872695492</v>
      </c>
      <c r="J28" s="71">
        <f>SUM(J10:J27)</f>
        <v>0</v>
      </c>
      <c r="K28" s="67"/>
      <c r="M28" s="71">
        <f>SUM(M10:M27)</f>
        <v>14784227035</v>
      </c>
      <c r="S28" s="71">
        <f>SUM(S10:S27)</f>
        <v>209818588522</v>
      </c>
      <c r="U28" s="71">
        <f>SUM(U10:U27)</f>
        <v>203591581697</v>
      </c>
      <c r="V28" s="67"/>
      <c r="W28" s="60">
        <f>SUM(W10:W27)</f>
        <v>0.96948816441832109</v>
      </c>
      <c r="Z28" s="68"/>
      <c r="AC28" s="68"/>
      <c r="AD28" s="69"/>
      <c r="AE28" s="68"/>
      <c r="AF28" s="69"/>
      <c r="AG28" s="68"/>
    </row>
    <row r="29" spans="1:33" ht="31.5" thickTop="1">
      <c r="A29" s="4"/>
    </row>
    <row r="30" spans="1:33">
      <c r="C30" s="69"/>
      <c r="E30" s="69"/>
      <c r="G30" s="69"/>
      <c r="J30" s="69"/>
      <c r="O30" s="72"/>
      <c r="S30" s="69"/>
      <c r="U30" s="69"/>
    </row>
    <row r="31" spans="1:33">
      <c r="E31" s="10"/>
      <c r="G31" s="10"/>
    </row>
    <row r="33" spans="7:21">
      <c r="G33" s="10"/>
      <c r="S33" s="10"/>
      <c r="U33" s="1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2"/>
  <sheetViews>
    <sheetView rightToLeft="1" view="pageBreakPreview" zoomScale="60" zoomScaleNormal="100" workbookViewId="0">
      <selection activeCell="O13" sqref="O13"/>
    </sheetView>
  </sheetViews>
  <sheetFormatPr defaultColWidth="9.140625" defaultRowHeight="15.75"/>
  <cols>
    <col min="1" max="1" width="45.7109375" style="188" customWidth="1"/>
    <col min="2" max="2" width="0.5703125" style="188" customWidth="1"/>
    <col min="3" max="3" width="12.5703125" style="188" customWidth="1"/>
    <col min="4" max="4" width="0.5703125" style="188" customWidth="1"/>
    <col min="5" max="5" width="29.140625" style="188" customWidth="1"/>
    <col min="6" max="6" width="0.5703125" style="188" customWidth="1"/>
    <col min="7" max="7" width="15.42578125" style="188" bestFit="1" customWidth="1"/>
    <col min="8" max="8" width="0.5703125" style="188" customWidth="1"/>
    <col min="9" max="9" width="16.5703125" style="188" bestFit="1" customWidth="1"/>
    <col min="10" max="10" width="0.42578125" style="188" customWidth="1"/>
    <col min="11" max="11" width="20.42578125" style="188" bestFit="1" customWidth="1"/>
    <col min="12" max="12" width="0.7109375" style="188" customWidth="1"/>
    <col min="13" max="13" width="13.7109375" style="188" bestFit="1" customWidth="1"/>
    <col min="14" max="14" width="1.140625" style="188" customWidth="1"/>
    <col min="15" max="15" width="19.42578125" style="188" bestFit="1" customWidth="1"/>
    <col min="16" max="16" width="0.5703125" style="188" customWidth="1"/>
    <col min="17" max="17" width="25.42578125" style="188" bestFit="1" customWidth="1"/>
    <col min="18" max="18" width="0.5703125" style="188" customWidth="1"/>
    <col min="19" max="19" width="13.7109375" style="188" bestFit="1" customWidth="1"/>
    <col min="20" max="20" width="25.42578125" style="188" bestFit="1" customWidth="1"/>
    <col min="21" max="21" width="0.5703125" style="188" customWidth="1"/>
    <col min="22" max="22" width="12.140625" style="188" bestFit="1" customWidth="1"/>
    <col min="23" max="23" width="23.7109375" style="188" bestFit="1" customWidth="1"/>
    <col min="24" max="24" width="0.5703125" style="188" customWidth="1"/>
    <col min="25" max="25" width="14.7109375" style="188" bestFit="1" customWidth="1"/>
    <col min="26" max="26" width="0.42578125" style="188" customWidth="1"/>
    <col min="27" max="27" width="23" style="188" bestFit="1" customWidth="1"/>
    <col min="28" max="28" width="0.7109375" style="188" customWidth="1"/>
    <col min="29" max="29" width="25.42578125" style="188" bestFit="1" customWidth="1"/>
    <col min="30" max="30" width="0.7109375" style="188" customWidth="1"/>
    <col min="31" max="31" width="25.42578125" style="188" bestFit="1" customWidth="1"/>
    <col min="32" max="32" width="0.7109375" style="188" customWidth="1"/>
    <col min="33" max="33" width="16.5703125" style="188" customWidth="1"/>
    <col min="34" max="34" width="9.140625" style="188"/>
    <col min="35" max="35" width="25.42578125" style="188" bestFit="1" customWidth="1"/>
    <col min="36" max="16384" width="9.140625" style="188"/>
  </cols>
  <sheetData>
    <row r="1" spans="1:35" s="85" customFormat="1" ht="24.75">
      <c r="A1" s="238" t="s">
        <v>94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</row>
    <row r="2" spans="1:35" s="85" customFormat="1" ht="24.75">
      <c r="A2" s="238" t="s">
        <v>51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</row>
    <row r="3" spans="1:35" s="85" customFormat="1" ht="24.75">
      <c r="A3" s="238" t="str">
        <f>' سهام'!A3:W3</f>
        <v>برای ماه منتهی به 1402/08/30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</row>
    <row r="4" spans="1:35" ht="24.75">
      <c r="A4" s="239" t="s">
        <v>68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</row>
    <row r="5" spans="1:35" ht="24.75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</row>
    <row r="6" spans="1:35" ht="27.75" customHeight="1" thickBot="1">
      <c r="A6" s="240" t="s">
        <v>69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 t="s">
        <v>119</v>
      </c>
      <c r="N6" s="240"/>
      <c r="O6" s="240"/>
      <c r="P6" s="240"/>
      <c r="Q6" s="240"/>
      <c r="R6" s="189"/>
      <c r="S6" s="241" t="s">
        <v>7</v>
      </c>
      <c r="T6" s="241"/>
      <c r="U6" s="241"/>
      <c r="V6" s="241"/>
      <c r="W6" s="241"/>
      <c r="X6" s="179"/>
      <c r="Y6" s="240" t="s">
        <v>126</v>
      </c>
      <c r="Z6" s="240"/>
      <c r="AA6" s="240"/>
      <c r="AB6" s="240"/>
      <c r="AC6" s="240"/>
      <c r="AD6" s="240"/>
      <c r="AE6" s="240"/>
      <c r="AF6" s="240"/>
      <c r="AG6" s="240"/>
    </row>
    <row r="7" spans="1:35" ht="26.25" customHeight="1">
      <c r="A7" s="243" t="s">
        <v>70</v>
      </c>
      <c r="B7" s="190"/>
      <c r="C7" s="244" t="s">
        <v>71</v>
      </c>
      <c r="D7" s="190"/>
      <c r="E7" s="246" t="s">
        <v>76</v>
      </c>
      <c r="F7" s="190"/>
      <c r="G7" s="242" t="s">
        <v>72</v>
      </c>
      <c r="H7" s="190"/>
      <c r="I7" s="244" t="s">
        <v>23</v>
      </c>
      <c r="J7" s="190"/>
      <c r="K7" s="246" t="s">
        <v>73</v>
      </c>
      <c r="L7" s="191"/>
      <c r="M7" s="247" t="s">
        <v>3</v>
      </c>
      <c r="N7" s="242"/>
      <c r="O7" s="242" t="s">
        <v>0</v>
      </c>
      <c r="P7" s="242"/>
      <c r="Q7" s="242" t="s">
        <v>21</v>
      </c>
      <c r="R7" s="190"/>
      <c r="S7" s="238" t="s">
        <v>4</v>
      </c>
      <c r="T7" s="238"/>
      <c r="U7" s="179"/>
      <c r="V7" s="238" t="s">
        <v>5</v>
      </c>
      <c r="W7" s="238"/>
      <c r="X7" s="179"/>
      <c r="Y7" s="247" t="s">
        <v>3</v>
      </c>
      <c r="Z7" s="243"/>
      <c r="AA7" s="242" t="s">
        <v>74</v>
      </c>
      <c r="AB7" s="190"/>
      <c r="AC7" s="242" t="s">
        <v>0</v>
      </c>
      <c r="AD7" s="243"/>
      <c r="AE7" s="242" t="s">
        <v>21</v>
      </c>
      <c r="AF7" s="192"/>
      <c r="AG7" s="242" t="s">
        <v>22</v>
      </c>
    </row>
    <row r="8" spans="1:35" s="195" customFormat="1" ht="55.5" customHeight="1" thickBot="1">
      <c r="A8" s="240"/>
      <c r="B8" s="190"/>
      <c r="C8" s="245"/>
      <c r="D8" s="190"/>
      <c r="E8" s="245"/>
      <c r="F8" s="190"/>
      <c r="G8" s="240"/>
      <c r="H8" s="190"/>
      <c r="I8" s="245"/>
      <c r="J8" s="190"/>
      <c r="K8" s="245"/>
      <c r="L8" s="189"/>
      <c r="M8" s="248"/>
      <c r="N8" s="243"/>
      <c r="O8" s="240"/>
      <c r="P8" s="243"/>
      <c r="Q8" s="240"/>
      <c r="R8" s="190"/>
      <c r="S8" s="193" t="s">
        <v>3</v>
      </c>
      <c r="T8" s="193" t="s">
        <v>0</v>
      </c>
      <c r="U8" s="194"/>
      <c r="V8" s="193" t="s">
        <v>3</v>
      </c>
      <c r="W8" s="193" t="s">
        <v>50</v>
      </c>
      <c r="X8" s="194"/>
      <c r="Y8" s="248"/>
      <c r="Z8" s="243"/>
      <c r="AA8" s="240"/>
      <c r="AB8" s="190"/>
      <c r="AC8" s="240"/>
      <c r="AD8" s="243"/>
      <c r="AE8" s="240"/>
      <c r="AF8" s="192"/>
      <c r="AG8" s="240"/>
    </row>
    <row r="9" spans="1:35" s="195" customFormat="1" ht="55.5" customHeight="1" thickBot="1">
      <c r="A9" s="196" t="s">
        <v>120</v>
      </c>
      <c r="B9" s="190"/>
      <c r="C9" s="197" t="s">
        <v>121</v>
      </c>
      <c r="D9" s="62"/>
      <c r="E9" s="197" t="s">
        <v>121</v>
      </c>
      <c r="F9" s="62"/>
      <c r="G9" s="197" t="s">
        <v>122</v>
      </c>
      <c r="H9" s="62"/>
      <c r="I9" s="197" t="s">
        <v>123</v>
      </c>
      <c r="J9" s="197"/>
      <c r="K9" s="198" t="s">
        <v>124</v>
      </c>
      <c r="L9" s="189"/>
      <c r="M9" s="4">
        <v>0</v>
      </c>
      <c r="N9" s="67"/>
      <c r="O9" s="4">
        <v>0</v>
      </c>
      <c r="P9" s="4"/>
      <c r="Q9" s="4">
        <v>0</v>
      </c>
      <c r="R9" s="4"/>
      <c r="S9" s="4">
        <v>6500</v>
      </c>
      <c r="T9" s="4">
        <v>4511808615</v>
      </c>
      <c r="U9" s="4"/>
      <c r="V9" s="4">
        <v>0</v>
      </c>
      <c r="W9" s="4">
        <v>0</v>
      </c>
      <c r="X9" s="4"/>
      <c r="Y9" s="4">
        <v>6500</v>
      </c>
      <c r="Z9" s="4"/>
      <c r="AA9" s="199" t="s">
        <v>125</v>
      </c>
      <c r="AB9" s="4"/>
      <c r="AC9" s="4">
        <v>4511808615</v>
      </c>
      <c r="AD9" s="4"/>
      <c r="AE9" s="4">
        <v>4501733915</v>
      </c>
      <c r="AG9" s="8"/>
      <c r="AI9" s="4"/>
    </row>
    <row r="10" spans="1:35" s="202" customFormat="1" ht="32.25" thickBot="1">
      <c r="A10" s="63" t="s">
        <v>2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88"/>
      <c r="N10" s="188"/>
      <c r="O10" s="200">
        <f>SUM(O9:O9)</f>
        <v>0</v>
      </c>
      <c r="P10" s="188"/>
      <c r="Q10" s="200">
        <f>SUM(Q9:Q9)</f>
        <v>0</v>
      </c>
      <c r="R10" s="188"/>
      <c r="S10" s="188"/>
      <c r="T10" s="200">
        <f>SUM(T9:T9)</f>
        <v>4511808615</v>
      </c>
      <c r="U10" s="188"/>
      <c r="V10" s="188"/>
      <c r="W10" s="200">
        <f>SUM(W9:W9)</f>
        <v>0</v>
      </c>
      <c r="X10" s="188"/>
      <c r="Y10" s="188"/>
      <c r="Z10" s="188"/>
      <c r="AA10" s="188"/>
      <c r="AB10" s="188"/>
      <c r="AC10" s="200">
        <f>SUM(AC9:AC9)</f>
        <v>4511808615</v>
      </c>
      <c r="AD10" s="188"/>
      <c r="AE10" s="200">
        <f>SUM(AE9:AE9)</f>
        <v>4501733915</v>
      </c>
      <c r="AF10" s="188"/>
      <c r="AG10" s="201">
        <f>SUM(AG9:AG9)</f>
        <v>0</v>
      </c>
    </row>
    <row r="11" spans="1:35" s="203" customFormat="1" ht="32.25" thickTop="1">
      <c r="M11" s="188"/>
      <c r="N11" s="188"/>
      <c r="P11" s="188"/>
      <c r="R11" s="188"/>
      <c r="S11" s="188"/>
      <c r="U11" s="188"/>
      <c r="V11" s="188"/>
      <c r="X11" s="188"/>
      <c r="Y11" s="188"/>
      <c r="Z11" s="188"/>
      <c r="AA11" s="188"/>
      <c r="AB11" s="188"/>
      <c r="AD11" s="188"/>
      <c r="AF11" s="188"/>
    </row>
    <row r="12" spans="1:35" s="4" customFormat="1" ht="30.75"/>
    <row r="13" spans="1:35" s="4" customFormat="1" ht="30.75">
      <c r="AG13" s="8"/>
    </row>
    <row r="14" spans="1:35" s="4" customFormat="1" ht="30.75">
      <c r="AC14" s="204"/>
      <c r="AG14" s="8"/>
    </row>
    <row r="15" spans="1:35" s="4" customFormat="1" ht="30.75">
      <c r="AC15" s="8"/>
      <c r="AG15" s="8"/>
    </row>
    <row r="16" spans="1:35" s="4" customFormat="1" ht="30.75">
      <c r="AC16" s="114"/>
      <c r="AG16" s="10"/>
    </row>
    <row r="17" s="4" customFormat="1" ht="30.75"/>
    <row r="18" s="4" customFormat="1" ht="30.75"/>
    <row r="19" s="4" customFormat="1" ht="30.75"/>
    <row r="20" s="4" customFormat="1" ht="30.75"/>
    <row r="21" s="4" customFormat="1" ht="30.75"/>
    <row r="22" s="4" customFormat="1" ht="30.75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3"/>
  <sheetViews>
    <sheetView rightToLeft="1" view="pageBreakPreview" zoomScaleNormal="100" zoomScaleSheetLayoutView="100" workbookViewId="0">
      <selection activeCell="C21" sqref="C21"/>
    </sheetView>
  </sheetViews>
  <sheetFormatPr defaultColWidth="9.140625" defaultRowHeight="15"/>
  <cols>
    <col min="1" max="1" width="39.140625" style="73" bestFit="1" customWidth="1"/>
    <col min="2" max="2" width="0.7109375" style="73" customWidth="1"/>
    <col min="3" max="3" width="24.28515625" style="73" customWidth="1"/>
    <col min="4" max="4" width="0.7109375" style="73" customWidth="1"/>
    <col min="5" max="5" width="9.5703125" style="73" bestFit="1" customWidth="1"/>
    <col min="6" max="6" width="0.7109375" style="73" customWidth="1"/>
    <col min="7" max="7" width="15.85546875" style="73" bestFit="1" customWidth="1"/>
    <col min="8" max="8" width="0.7109375" style="73" customWidth="1"/>
    <col min="9" max="9" width="9.28515625" style="73" customWidth="1"/>
    <col min="10" max="10" width="0.5703125" style="73" customWidth="1"/>
    <col min="11" max="11" width="21.28515625" style="16" customWidth="1"/>
    <col min="12" max="12" width="0.7109375" style="73" customWidth="1"/>
    <col min="13" max="13" width="22.28515625" style="73" customWidth="1"/>
    <col min="14" max="14" width="0.42578125" style="73" customWidth="1"/>
    <col min="15" max="15" width="22.140625" style="73" customWidth="1"/>
    <col min="16" max="16" width="0.42578125" style="73" customWidth="1"/>
    <col min="17" max="17" width="18.42578125" style="73" customWidth="1"/>
    <col min="18" max="18" width="0.5703125" style="73" customWidth="1"/>
    <col min="19" max="19" width="12.140625" style="73" customWidth="1"/>
    <col min="20" max="16384" width="9.140625" style="73"/>
  </cols>
  <sheetData>
    <row r="1" spans="1:27" ht="18.75">
      <c r="A1" s="249" t="s">
        <v>94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</row>
    <row r="2" spans="1:27" ht="18.75">
      <c r="A2" s="249" t="s">
        <v>51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</row>
    <row r="3" spans="1:27" ht="18.75">
      <c r="A3" s="249" t="str">
        <f>' سهام'!A3:W3</f>
        <v>برای ماه منتهی به 1402/08/30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</row>
    <row r="4" spans="1:27" ht="18.75">
      <c r="A4" s="252" t="s">
        <v>52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</row>
    <row r="5" spans="1:27" ht="18.75" thickBot="1">
      <c r="A5" s="74"/>
      <c r="B5" s="74"/>
      <c r="C5" s="75"/>
      <c r="D5" s="75"/>
      <c r="E5" s="75"/>
      <c r="F5" s="75"/>
      <c r="G5" s="75"/>
      <c r="H5" s="75"/>
      <c r="I5" s="75"/>
      <c r="J5" s="75"/>
      <c r="K5" s="11"/>
      <c r="L5" s="75"/>
      <c r="M5" s="75"/>
      <c r="N5" s="75"/>
      <c r="O5" s="75"/>
      <c r="P5" s="75"/>
      <c r="Q5" s="75"/>
      <c r="R5" s="75"/>
      <c r="S5" s="75"/>
    </row>
    <row r="6" spans="1:27" ht="18.75" customHeight="1" thickBot="1">
      <c r="A6" s="76"/>
      <c r="B6" s="74"/>
      <c r="C6" s="253" t="s">
        <v>11</v>
      </c>
      <c r="D6" s="253"/>
      <c r="E6" s="253"/>
      <c r="F6" s="253"/>
      <c r="G6" s="253"/>
      <c r="H6" s="253"/>
      <c r="I6" s="253"/>
      <c r="J6" s="77"/>
      <c r="K6" s="12" t="s">
        <v>119</v>
      </c>
      <c r="L6" s="184"/>
      <c r="M6" s="263" t="s">
        <v>7</v>
      </c>
      <c r="N6" s="263"/>
      <c r="O6" s="263"/>
      <c r="P6" s="74"/>
      <c r="Q6" s="253" t="s">
        <v>126</v>
      </c>
      <c r="R6" s="253"/>
      <c r="S6" s="253"/>
    </row>
    <row r="7" spans="1:27" ht="24" customHeight="1">
      <c r="A7" s="256" t="s">
        <v>8</v>
      </c>
      <c r="B7" s="78"/>
      <c r="C7" s="260" t="s">
        <v>9</v>
      </c>
      <c r="D7" s="78"/>
      <c r="E7" s="260" t="s">
        <v>10</v>
      </c>
      <c r="F7" s="78"/>
      <c r="G7" s="260" t="s">
        <v>34</v>
      </c>
      <c r="H7" s="78"/>
      <c r="I7" s="260" t="s">
        <v>89</v>
      </c>
      <c r="J7" s="256"/>
      <c r="K7" s="258" t="s">
        <v>6</v>
      </c>
      <c r="L7" s="78"/>
      <c r="M7" s="261" t="s">
        <v>36</v>
      </c>
      <c r="N7" s="79"/>
      <c r="O7" s="261" t="s">
        <v>37</v>
      </c>
      <c r="P7" s="74"/>
      <c r="Q7" s="254" t="s">
        <v>6</v>
      </c>
      <c r="R7" s="256"/>
      <c r="S7" s="250" t="s">
        <v>22</v>
      </c>
    </row>
    <row r="8" spans="1:27" ht="18.75" thickBot="1">
      <c r="A8" s="257"/>
      <c r="B8" s="78"/>
      <c r="C8" s="251"/>
      <c r="D8" s="80"/>
      <c r="E8" s="251"/>
      <c r="F8" s="80"/>
      <c r="G8" s="251"/>
      <c r="H8" s="80"/>
      <c r="I8" s="251"/>
      <c r="J8" s="256"/>
      <c r="K8" s="259"/>
      <c r="L8" s="78"/>
      <c r="M8" s="262"/>
      <c r="N8" s="74"/>
      <c r="O8" s="262"/>
      <c r="P8" s="74"/>
      <c r="Q8" s="255"/>
      <c r="R8" s="256"/>
      <c r="S8" s="251"/>
    </row>
    <row r="9" spans="1:27" s="74" customFormat="1" ht="18">
      <c r="A9" s="81" t="s">
        <v>105</v>
      </c>
      <c r="C9" s="82" t="s">
        <v>106</v>
      </c>
      <c r="E9" s="83" t="s">
        <v>92</v>
      </c>
      <c r="G9" s="82" t="s">
        <v>93</v>
      </c>
      <c r="I9" s="205">
        <v>13</v>
      </c>
      <c r="J9" s="13"/>
      <c r="K9" s="13">
        <v>2338982</v>
      </c>
      <c r="L9" s="13"/>
      <c r="M9" s="13">
        <v>7540</v>
      </c>
      <c r="N9" s="13"/>
      <c r="O9" s="13">
        <v>504000</v>
      </c>
      <c r="P9" s="13"/>
      <c r="Q9" s="13">
        <v>1842522</v>
      </c>
      <c r="S9" s="14">
        <f>Q9/درآمدها!$J$5</f>
        <v>8.7739544866785416E-6</v>
      </c>
      <c r="T9" s="69"/>
      <c r="U9" s="84"/>
      <c r="V9" s="69"/>
      <c r="W9" s="84"/>
      <c r="X9" s="69"/>
      <c r="Y9" s="84"/>
      <c r="Z9" s="69"/>
      <c r="AA9" s="84"/>
    </row>
    <row r="10" spans="1:27" s="74" customFormat="1" ht="18.75" thickBot="1">
      <c r="A10" s="81" t="s">
        <v>104</v>
      </c>
      <c r="C10" s="82" t="s">
        <v>118</v>
      </c>
      <c r="E10" s="83" t="s">
        <v>92</v>
      </c>
      <c r="G10" s="82" t="s">
        <v>93</v>
      </c>
      <c r="I10" s="205">
        <v>13</v>
      </c>
      <c r="J10" s="13"/>
      <c r="K10" s="13">
        <v>1292971993</v>
      </c>
      <c r="L10" s="13"/>
      <c r="M10" s="13">
        <v>3327558147</v>
      </c>
      <c r="N10" s="13"/>
      <c r="O10" s="13">
        <v>4570795623</v>
      </c>
      <c r="P10" s="13"/>
      <c r="Q10" s="13">
        <v>49734517</v>
      </c>
      <c r="S10" s="14">
        <f>Q10/درآمدها!$J$5</f>
        <v>2.368321184631392E-4</v>
      </c>
      <c r="T10" s="69"/>
      <c r="U10" s="84"/>
      <c r="V10" s="69"/>
      <c r="W10" s="84"/>
      <c r="X10" s="69"/>
      <c r="Y10" s="84"/>
      <c r="AA10" s="84"/>
    </row>
    <row r="11" spans="1:27" s="74" customFormat="1" ht="24" customHeight="1" thickBot="1">
      <c r="A11" s="78" t="s">
        <v>2</v>
      </c>
      <c r="B11" s="78"/>
      <c r="C11" s="78"/>
      <c r="D11" s="78"/>
      <c r="E11" s="78"/>
      <c r="F11" s="78"/>
      <c r="G11" s="78"/>
      <c r="H11" s="78"/>
      <c r="I11" s="78"/>
      <c r="J11" s="178"/>
      <c r="K11" s="206">
        <f>SUM(K9:K10)</f>
        <v>1295310975</v>
      </c>
      <c r="M11" s="207">
        <f>SUM(M9:M10)</f>
        <v>3327565687</v>
      </c>
      <c r="O11" s="207">
        <f>SUM(O9:O10)</f>
        <v>4571299623</v>
      </c>
      <c r="Q11" s="207">
        <f>SUM(Q9:Q10)</f>
        <v>51577039</v>
      </c>
      <c r="S11" s="15">
        <f>SUM(S9:S10)</f>
        <v>2.4560607294981773E-4</v>
      </c>
    </row>
    <row r="12" spans="1:27" ht="18.75" thickTop="1">
      <c r="L12" s="74"/>
      <c r="N12" s="74"/>
      <c r="P12" s="74"/>
      <c r="R12" s="74"/>
    </row>
    <row r="13" spans="1:27" ht="18">
      <c r="L13" s="74"/>
      <c r="N13" s="74"/>
      <c r="P13" s="74"/>
      <c r="R13" s="74"/>
    </row>
    <row r="14" spans="1:27" ht="21.75">
      <c r="K14" s="69"/>
      <c r="L14" s="17"/>
      <c r="M14" s="69"/>
      <c r="N14" s="85"/>
      <c r="O14" s="69"/>
      <c r="P14" s="17"/>
      <c r="Q14" s="69"/>
    </row>
    <row r="15" spans="1:27" ht="21.75">
      <c r="K15" s="17"/>
      <c r="L15" s="17"/>
      <c r="M15" s="17"/>
      <c r="N15" s="17"/>
      <c r="O15" s="17"/>
      <c r="P15" s="17"/>
      <c r="Q15" s="17"/>
    </row>
    <row r="16" spans="1:27" ht="21.75">
      <c r="K16" s="17"/>
      <c r="M16" s="17"/>
      <c r="O16" s="17"/>
      <c r="Q16" s="17"/>
    </row>
    <row r="17" spans="11:20" ht="21.75">
      <c r="K17" s="17"/>
      <c r="L17" s="17"/>
      <c r="M17" s="17"/>
      <c r="N17" s="17"/>
      <c r="O17" s="17"/>
      <c r="P17" s="17"/>
      <c r="Q17" s="17"/>
    </row>
    <row r="18" spans="11:20" ht="21.75">
      <c r="K18" s="17"/>
      <c r="M18" s="17"/>
      <c r="O18" s="17"/>
      <c r="Q18" s="17"/>
    </row>
    <row r="19" spans="11:20">
      <c r="Q19" s="86"/>
      <c r="T19" s="208"/>
    </row>
    <row r="20" spans="11:20">
      <c r="T20" s="208"/>
    </row>
    <row r="23" spans="11:20">
      <c r="T23" s="208"/>
    </row>
  </sheetData>
  <autoFilter ref="A8:S8" xr:uid="{00000000-0009-0000-0000-000003000000}">
    <sortState xmlns:xlrd2="http://schemas.microsoft.com/office/spreadsheetml/2017/richdata2" ref="A10:S11">
      <sortCondition descending="1" ref="Q8"/>
    </sortState>
  </autoFilter>
  <mergeCells count="19"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</mergeCells>
  <pageMargins left="0.25" right="0.25" top="0.75" bottom="0.75" header="0.3" footer="0.3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N38"/>
  <sheetViews>
    <sheetView rightToLeft="1" view="pageBreakPreview" zoomScaleNormal="100" zoomScaleSheetLayoutView="100" workbookViewId="0">
      <selection activeCell="E20" sqref="E20"/>
    </sheetView>
  </sheetViews>
  <sheetFormatPr defaultColWidth="9.140625" defaultRowHeight="18"/>
  <cols>
    <col min="1" max="1" width="65.7109375" style="111" customWidth="1"/>
    <col min="2" max="2" width="1" style="111" customWidth="1"/>
    <col min="3" max="3" width="9.140625" style="88"/>
    <col min="4" max="4" width="1.140625" style="88" customWidth="1"/>
    <col min="5" max="5" width="25.28515625" style="19" bestFit="1" customWidth="1"/>
    <col min="6" max="6" width="1" style="88" customWidth="1"/>
    <col min="7" max="7" width="19.7109375" style="88" customWidth="1"/>
    <col min="8" max="8" width="0.42578125" style="88" customWidth="1"/>
    <col min="9" max="9" width="24.5703125" style="88" customWidth="1"/>
    <col min="10" max="10" width="21.28515625" style="112" bestFit="1" customWidth="1"/>
    <col min="11" max="11" width="17.7109375" style="112" bestFit="1" customWidth="1"/>
    <col min="12" max="12" width="14.28515625" style="88" bestFit="1" customWidth="1"/>
    <col min="13" max="13" width="12.5703125" style="88" bestFit="1" customWidth="1"/>
    <col min="14" max="14" width="9.5703125" style="88" bestFit="1" customWidth="1"/>
    <col min="15" max="16384" width="9.140625" style="88"/>
  </cols>
  <sheetData>
    <row r="1" spans="1:14" ht="21">
      <c r="A1" s="249" t="s">
        <v>94</v>
      </c>
      <c r="B1" s="249"/>
      <c r="C1" s="249"/>
      <c r="D1" s="249"/>
      <c r="E1" s="249"/>
      <c r="F1" s="249"/>
      <c r="G1" s="249"/>
      <c r="H1" s="249"/>
      <c r="I1" s="249"/>
      <c r="J1" s="87"/>
      <c r="K1" s="87"/>
    </row>
    <row r="2" spans="1:14" ht="21">
      <c r="A2" s="249" t="s">
        <v>51</v>
      </c>
      <c r="B2" s="249"/>
      <c r="C2" s="249"/>
      <c r="D2" s="249"/>
      <c r="E2" s="249"/>
      <c r="F2" s="249"/>
      <c r="G2" s="249"/>
      <c r="H2" s="249"/>
      <c r="I2" s="249"/>
      <c r="J2" s="89"/>
      <c r="K2" s="87"/>
    </row>
    <row r="3" spans="1:14" ht="21.75" thickBot="1">
      <c r="A3" s="249" t="str">
        <f>سپرده!A3</f>
        <v>برای ماه منتهی به 1402/08/30</v>
      </c>
      <c r="B3" s="249"/>
      <c r="C3" s="249"/>
      <c r="D3" s="249"/>
      <c r="E3" s="249"/>
      <c r="F3" s="249"/>
      <c r="G3" s="249"/>
      <c r="H3" s="249"/>
      <c r="I3" s="249"/>
      <c r="J3" s="87"/>
      <c r="K3" s="87"/>
    </row>
    <row r="4" spans="1:14" ht="21.75" thickBot="1">
      <c r="A4" s="90" t="s">
        <v>27</v>
      </c>
      <c r="B4" s="91"/>
      <c r="C4" s="91"/>
      <c r="D4" s="91"/>
      <c r="E4" s="91"/>
      <c r="F4" s="91"/>
      <c r="G4" s="91"/>
      <c r="H4" s="91"/>
      <c r="I4" s="91"/>
      <c r="J4" s="18">
        <v>25600400069</v>
      </c>
      <c r="K4" s="92" t="s">
        <v>91</v>
      </c>
    </row>
    <row r="5" spans="1:14" ht="21.75" customHeight="1" thickBot="1">
      <c r="A5" s="90"/>
      <c r="B5" s="90"/>
      <c r="C5" s="90"/>
      <c r="D5" s="90"/>
      <c r="E5" s="253" t="s">
        <v>126</v>
      </c>
      <c r="F5" s="253"/>
      <c r="G5" s="253"/>
      <c r="H5" s="253"/>
      <c r="I5" s="253"/>
      <c r="J5" s="18">
        <v>209999037811</v>
      </c>
      <c r="K5" s="92" t="s">
        <v>90</v>
      </c>
    </row>
    <row r="6" spans="1:14" ht="21.75" customHeight="1" thickBot="1">
      <c r="A6" s="93" t="s">
        <v>38</v>
      </c>
      <c r="B6" s="94"/>
      <c r="C6" s="95" t="s">
        <v>39</v>
      </c>
      <c r="D6" s="79"/>
      <c r="E6" s="96" t="s">
        <v>6</v>
      </c>
      <c r="F6" s="79"/>
      <c r="G6" s="95" t="s">
        <v>19</v>
      </c>
      <c r="H6" s="79"/>
      <c r="I6" s="95" t="s">
        <v>88</v>
      </c>
      <c r="J6" s="97"/>
      <c r="K6" s="97"/>
    </row>
    <row r="7" spans="1:14" ht="21" customHeight="1">
      <c r="A7" s="98" t="s">
        <v>107</v>
      </c>
      <c r="B7" s="98"/>
      <c r="C7" s="99" t="s">
        <v>53</v>
      </c>
      <c r="D7" s="91"/>
      <c r="E7" s="100">
        <f>'درآمد سرمایه گذاری در سهام '!S29</f>
        <v>25503113240</v>
      </c>
      <c r="F7" s="91"/>
      <c r="G7" s="101">
        <f>E7/$E$11*100</f>
        <v>99.926063614261892</v>
      </c>
      <c r="H7" s="102"/>
      <c r="I7" s="103">
        <f>E7/$J$5*100</f>
        <v>12.144395281921676</v>
      </c>
      <c r="J7" s="97"/>
      <c r="K7" s="97"/>
    </row>
    <row r="8" spans="1:14" ht="18.75" customHeight="1">
      <c r="A8" s="98" t="s">
        <v>48</v>
      </c>
      <c r="B8" s="98"/>
      <c r="C8" s="99" t="s">
        <v>54</v>
      </c>
      <c r="D8" s="91"/>
      <c r="E8" s="174">
        <v>0</v>
      </c>
      <c r="F8" s="91"/>
      <c r="G8" s="101">
        <f t="shared" ref="G8:G10" si="0">E8/$E$11*100</f>
        <v>0</v>
      </c>
      <c r="H8" s="102"/>
      <c r="I8" s="103">
        <f t="shared" ref="I8:I10" si="1">E8/$J$5*100</f>
        <v>0</v>
      </c>
      <c r="J8" s="97"/>
      <c r="K8" s="97"/>
      <c r="L8" s="97"/>
      <c r="M8" s="104"/>
      <c r="N8" s="105"/>
    </row>
    <row r="9" spans="1:14" ht="18.75" customHeight="1">
      <c r="A9" s="98" t="s">
        <v>49</v>
      </c>
      <c r="B9" s="98"/>
      <c r="C9" s="99" t="s">
        <v>55</v>
      </c>
      <c r="D9" s="91"/>
      <c r="E9" s="98">
        <f>'درآمد سپرده بانکی'!I10</f>
        <v>169452</v>
      </c>
      <c r="F9" s="91"/>
      <c r="G9" s="101">
        <f t="shared" si="0"/>
        <v>6.6394526708237714E-4</v>
      </c>
      <c r="H9" s="102"/>
      <c r="I9" s="103">
        <f t="shared" si="1"/>
        <v>8.0691798289336683E-5</v>
      </c>
      <c r="J9" s="97"/>
      <c r="K9" s="97"/>
      <c r="M9" s="104"/>
      <c r="N9" s="105"/>
    </row>
    <row r="10" spans="1:14" ht="19.5" customHeight="1" thickBot="1">
      <c r="A10" s="98" t="s">
        <v>32</v>
      </c>
      <c r="B10" s="98"/>
      <c r="C10" s="99" t="s">
        <v>56</v>
      </c>
      <c r="D10" s="91"/>
      <c r="E10" s="106">
        <f>'سایر درآمدها'!E10</f>
        <v>18700580</v>
      </c>
      <c r="F10" s="91"/>
      <c r="G10" s="101">
        <f t="shared" si="0"/>
        <v>7.3272440471020467E-2</v>
      </c>
      <c r="H10" s="102"/>
      <c r="I10" s="103">
        <f t="shared" si="1"/>
        <v>8.905078896995041E-3</v>
      </c>
      <c r="J10" s="97"/>
      <c r="K10" s="97"/>
      <c r="M10" s="104"/>
      <c r="N10" s="105"/>
    </row>
    <row r="11" spans="1:14" ht="19.5" customHeight="1" thickBot="1">
      <c r="A11" s="98" t="s">
        <v>2</v>
      </c>
      <c r="B11" s="107"/>
      <c r="C11" s="74"/>
      <c r="D11" s="74"/>
      <c r="E11" s="108">
        <f>SUM(E7:E10)</f>
        <v>25521983272</v>
      </c>
      <c r="F11" s="74"/>
      <c r="G11" s="109">
        <f>SUM(G7:G10)</f>
        <v>99.999999999999986</v>
      </c>
      <c r="H11" s="102"/>
      <c r="I11" s="110">
        <f>SUM(I7:I10)</f>
        <v>12.153381052616959</v>
      </c>
      <c r="J11" s="97"/>
      <c r="K11" s="97"/>
    </row>
    <row r="12" spans="1:14" ht="18.75" customHeight="1" thickTop="1">
      <c r="J12" s="97"/>
      <c r="K12" s="97"/>
    </row>
    <row r="13" spans="1:14" ht="18" customHeight="1">
      <c r="E13" s="20"/>
      <c r="F13" s="20"/>
      <c r="G13" s="20"/>
      <c r="J13" s="97"/>
      <c r="K13" s="97"/>
    </row>
    <row r="14" spans="1:14" ht="18" customHeight="1">
      <c r="E14" s="20"/>
      <c r="F14" s="20"/>
      <c r="G14" s="20"/>
      <c r="J14" s="97"/>
      <c r="K14" s="97"/>
    </row>
    <row r="15" spans="1:14" ht="18" customHeight="1">
      <c r="E15" s="20"/>
      <c r="F15" s="20"/>
      <c r="G15" s="20"/>
      <c r="J15" s="97"/>
      <c r="K15" s="97"/>
    </row>
    <row r="16" spans="1:14" ht="18" customHeight="1">
      <c r="E16" s="20"/>
      <c r="F16" s="20"/>
      <c r="G16" s="20"/>
      <c r="J16" s="97"/>
      <c r="K16" s="97"/>
    </row>
    <row r="17" spans="1:11" ht="17.45" customHeight="1">
      <c r="E17" s="20"/>
      <c r="F17" s="20"/>
      <c r="G17" s="20"/>
      <c r="J17" s="97"/>
      <c r="K17" s="97"/>
    </row>
    <row r="18" spans="1:11" ht="17.45" customHeight="1">
      <c r="E18" s="20"/>
      <c r="F18" s="20"/>
      <c r="G18" s="20"/>
    </row>
    <row r="19" spans="1:11" ht="17.45" customHeight="1"/>
    <row r="21" spans="1:11">
      <c r="A21" s="111" t="s">
        <v>60</v>
      </c>
    </row>
    <row r="27" spans="1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4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U22"/>
  <sheetViews>
    <sheetView rightToLeft="1" view="pageBreakPreview" zoomScale="70" zoomScaleNormal="100" zoomScaleSheetLayoutView="70" workbookViewId="0">
      <selection activeCell="B20" sqref="B20"/>
    </sheetView>
  </sheetViews>
  <sheetFormatPr defaultColWidth="9.140625" defaultRowHeight="18"/>
  <cols>
    <col min="1" max="1" width="50.85546875" style="74" customWidth="1"/>
    <col min="2" max="2" width="15.5703125" style="74" bestFit="1" customWidth="1"/>
    <col min="3" max="3" width="0.85546875" style="74" customWidth="1"/>
    <col min="4" max="4" width="14" style="74" bestFit="1" customWidth="1"/>
    <col min="5" max="5" width="1.28515625" style="74" customWidth="1"/>
    <col min="6" max="6" width="12.42578125" style="74" customWidth="1"/>
    <col min="7" max="7" width="1" style="74" customWidth="1"/>
    <col min="8" max="8" width="25" style="24" bestFit="1" customWidth="1"/>
    <col min="9" max="9" width="0.85546875" style="24" customWidth="1"/>
    <col min="10" max="10" width="25" style="24" bestFit="1" customWidth="1"/>
    <col min="11" max="11" width="0.7109375" style="24" customWidth="1"/>
    <col min="12" max="12" width="23.140625" style="24" bestFit="1" customWidth="1"/>
    <col min="13" max="13" width="0.7109375" style="24" customWidth="1"/>
    <col min="14" max="14" width="23.140625" style="24" bestFit="1" customWidth="1"/>
    <col min="15" max="15" width="0.5703125" style="24" customWidth="1"/>
    <col min="16" max="16" width="17" style="24" bestFit="1" customWidth="1"/>
    <col min="17" max="17" width="0.5703125" style="24" customWidth="1"/>
    <col min="18" max="18" width="23.140625" style="24" bestFit="1" customWidth="1"/>
    <col min="19" max="19" width="9.140625" style="74"/>
    <col min="20" max="20" width="14.28515625" style="74" bestFit="1" customWidth="1"/>
    <col min="21" max="16384" width="9.140625" style="74"/>
  </cols>
  <sheetData>
    <row r="1" spans="1:21" ht="24.75">
      <c r="A1" s="238" t="s">
        <v>94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</row>
    <row r="2" spans="1:21" ht="24.75">
      <c r="A2" s="238" t="s">
        <v>57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</row>
    <row r="3" spans="1:21" ht="24.75">
      <c r="A3" s="238" t="str">
        <f>' سهام'!A3:W3</f>
        <v>برای ماه منتهی به 1402/08/30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21" ht="24.75">
      <c r="A4" s="239" t="s">
        <v>66</v>
      </c>
      <c r="B4" s="239"/>
      <c r="C4" s="239"/>
      <c r="D4" s="239"/>
      <c r="E4" s="239"/>
      <c r="F4" s="239"/>
      <c r="G4" s="239"/>
      <c r="H4" s="239"/>
      <c r="I4" s="21"/>
      <c r="J4" s="22"/>
      <c r="K4" s="22"/>
      <c r="L4" s="22"/>
      <c r="M4" s="22"/>
      <c r="N4" s="22"/>
      <c r="O4" s="22"/>
      <c r="P4" s="22"/>
      <c r="Q4" s="22"/>
      <c r="R4" s="22"/>
    </row>
    <row r="5" spans="1:21" ht="24.75" customHeight="1" thickBot="1">
      <c r="A5" s="115"/>
      <c r="B5" s="264"/>
      <c r="C5" s="264"/>
      <c r="D5" s="264"/>
      <c r="E5" s="264"/>
      <c r="F5" s="264"/>
      <c r="G5" s="116"/>
      <c r="H5" s="265" t="s">
        <v>130</v>
      </c>
      <c r="I5" s="265"/>
      <c r="J5" s="265"/>
      <c r="K5" s="265"/>
      <c r="L5" s="265"/>
      <c r="M5" s="22"/>
      <c r="N5" s="265" t="s">
        <v>131</v>
      </c>
      <c r="O5" s="265"/>
      <c r="P5" s="265"/>
      <c r="Q5" s="265"/>
      <c r="R5" s="265"/>
    </row>
    <row r="6" spans="1:21" ht="46.5" customHeight="1" thickBot="1">
      <c r="A6" s="117" t="s">
        <v>38</v>
      </c>
      <c r="B6" s="118" t="s">
        <v>41</v>
      </c>
      <c r="C6" s="182"/>
      <c r="D6" s="118" t="s">
        <v>23</v>
      </c>
      <c r="E6" s="182"/>
      <c r="F6" s="118" t="s">
        <v>35</v>
      </c>
      <c r="G6" s="182"/>
      <c r="H6" s="23" t="s">
        <v>58</v>
      </c>
      <c r="I6" s="181"/>
      <c r="J6" s="23" t="s">
        <v>40</v>
      </c>
      <c r="K6" s="181"/>
      <c r="L6" s="23" t="s">
        <v>42</v>
      </c>
      <c r="M6" s="22"/>
      <c r="N6" s="23" t="s">
        <v>58</v>
      </c>
      <c r="O6" s="181"/>
      <c r="P6" s="23" t="s">
        <v>40</v>
      </c>
      <c r="Q6" s="181"/>
      <c r="R6" s="23" t="s">
        <v>42</v>
      </c>
    </row>
    <row r="7" spans="1:21" s="85" customFormat="1" ht="46.5" customHeight="1">
      <c r="A7" s="83" t="s">
        <v>104</v>
      </c>
      <c r="B7" s="17" t="s">
        <v>126</v>
      </c>
      <c r="C7" s="119"/>
      <c r="D7" s="120" t="s">
        <v>93</v>
      </c>
      <c r="F7" s="17">
        <v>13</v>
      </c>
      <c r="H7" s="17">
        <v>161912</v>
      </c>
      <c r="I7" s="17"/>
      <c r="J7" s="17">
        <v>0</v>
      </c>
      <c r="K7" s="17"/>
      <c r="L7" s="17">
        <f>H7+J7</f>
        <v>161912</v>
      </c>
      <c r="M7" s="17"/>
      <c r="N7" s="17">
        <v>161912</v>
      </c>
      <c r="O7" s="17"/>
      <c r="P7" s="17">
        <v>0</v>
      </c>
      <c r="Q7" s="17"/>
      <c r="R7" s="17">
        <f>N7+P7</f>
        <v>161912</v>
      </c>
      <c r="S7" s="69"/>
      <c r="T7" s="121"/>
      <c r="U7" s="121"/>
    </row>
    <row r="8" spans="1:21" s="85" customFormat="1" ht="46.5" customHeight="1">
      <c r="A8" s="83" t="s">
        <v>133</v>
      </c>
      <c r="B8" s="17"/>
      <c r="C8" s="119"/>
      <c r="D8" s="120"/>
      <c r="F8" s="17">
        <v>13</v>
      </c>
      <c r="H8" s="17">
        <v>0</v>
      </c>
      <c r="I8" s="17"/>
      <c r="J8" s="17">
        <v>0</v>
      </c>
      <c r="K8" s="17"/>
      <c r="L8" s="17">
        <f t="shared" ref="L8:L10" si="0">H8+J8</f>
        <v>0</v>
      </c>
      <c r="M8" s="17"/>
      <c r="N8" s="17">
        <v>0</v>
      </c>
      <c r="O8" s="17"/>
      <c r="P8" s="17">
        <v>0</v>
      </c>
      <c r="Q8" s="17"/>
      <c r="R8" s="17">
        <f t="shared" ref="R8:R10" si="1">N8+P8</f>
        <v>0</v>
      </c>
      <c r="S8" s="69"/>
      <c r="T8" s="121"/>
      <c r="U8" s="121"/>
    </row>
    <row r="9" spans="1:21" s="85" customFormat="1" ht="46.5" customHeight="1">
      <c r="A9" s="83" t="s">
        <v>134</v>
      </c>
      <c r="B9" s="17"/>
      <c r="C9" s="119"/>
      <c r="D9" s="120"/>
      <c r="F9" s="209">
        <v>26.5</v>
      </c>
      <c r="H9" s="17">
        <v>0</v>
      </c>
      <c r="I9" s="17"/>
      <c r="J9" s="17">
        <v>0</v>
      </c>
      <c r="K9" s="17"/>
      <c r="L9" s="17">
        <f t="shared" si="0"/>
        <v>0</v>
      </c>
      <c r="M9" s="17"/>
      <c r="N9" s="17">
        <v>0</v>
      </c>
      <c r="O9" s="17"/>
      <c r="P9" s="17">
        <v>0</v>
      </c>
      <c r="Q9" s="17"/>
      <c r="R9" s="17">
        <f t="shared" si="1"/>
        <v>0</v>
      </c>
      <c r="S9" s="69"/>
      <c r="T9" s="121"/>
      <c r="U9" s="121"/>
    </row>
    <row r="10" spans="1:21" s="85" customFormat="1" ht="46.5" customHeight="1">
      <c r="A10" s="83" t="s">
        <v>105</v>
      </c>
      <c r="B10" s="17" t="s">
        <v>127</v>
      </c>
      <c r="C10" s="119"/>
      <c r="D10" s="120" t="s">
        <v>93</v>
      </c>
      <c r="F10" s="17">
        <v>13</v>
      </c>
      <c r="H10" s="17">
        <v>7540</v>
      </c>
      <c r="I10" s="17"/>
      <c r="J10" s="17">
        <v>0</v>
      </c>
      <c r="K10" s="17"/>
      <c r="L10" s="17">
        <f t="shared" si="0"/>
        <v>7540</v>
      </c>
      <c r="M10" s="17"/>
      <c r="N10" s="17">
        <v>7540</v>
      </c>
      <c r="O10" s="17"/>
      <c r="P10" s="17">
        <v>0</v>
      </c>
      <c r="Q10" s="17"/>
      <c r="R10" s="17">
        <f t="shared" si="1"/>
        <v>7540</v>
      </c>
      <c r="S10" s="69"/>
      <c r="T10" s="121"/>
      <c r="U10" s="121"/>
    </row>
    <row r="11" spans="1:21" ht="47.45" customHeight="1" thickBot="1">
      <c r="A11" s="83"/>
      <c r="B11" s="116"/>
      <c r="C11" s="116"/>
      <c r="D11" s="116"/>
      <c r="E11" s="116"/>
      <c r="F11" s="116"/>
      <c r="G11" s="116"/>
      <c r="H11" s="210">
        <f>SUM(H7:H10)</f>
        <v>169452</v>
      </c>
      <c r="I11" s="211"/>
      <c r="J11" s="210">
        <f>SUM(J7:J10)</f>
        <v>0</v>
      </c>
      <c r="K11" s="211"/>
      <c r="L11" s="210">
        <f>SUM(L7:L10)</f>
        <v>169452</v>
      </c>
      <c r="M11" s="211"/>
      <c r="N11" s="210">
        <f>SUM(N7:N10)</f>
        <v>169452</v>
      </c>
      <c r="O11" s="211"/>
      <c r="P11" s="210">
        <f>SUM(P7:P10)</f>
        <v>0</v>
      </c>
      <c r="Q11" s="212" t="e">
        <f>SUM(#REF!)</f>
        <v>#REF!</v>
      </c>
      <c r="R11" s="210">
        <f>SUM(R7:R10)</f>
        <v>169452</v>
      </c>
    </row>
    <row r="12" spans="1:21" ht="22.5" thickTop="1">
      <c r="I12" s="85"/>
      <c r="K12" s="85"/>
      <c r="M12" s="85"/>
      <c r="O12" s="85"/>
    </row>
    <row r="13" spans="1:21" ht="21.75">
      <c r="I13" s="85"/>
      <c r="K13" s="85"/>
      <c r="M13" s="85"/>
      <c r="O13" s="85"/>
    </row>
    <row r="14" spans="1:21" ht="21.75">
      <c r="H14" s="69"/>
      <c r="I14" s="85"/>
      <c r="K14" s="85"/>
      <c r="M14" s="85"/>
    </row>
    <row r="15" spans="1:21" s="88" customFormat="1" ht="21.75">
      <c r="H15" s="113"/>
      <c r="J15" s="114"/>
      <c r="L15" s="25"/>
      <c r="N15" s="26"/>
      <c r="P15" s="113"/>
      <c r="R15" s="13"/>
    </row>
    <row r="16" spans="1:21" s="88" customFormat="1" ht="21.75">
      <c r="H16" s="27"/>
      <c r="I16" s="104"/>
      <c r="J16" s="104"/>
      <c r="L16" s="25"/>
      <c r="N16" s="27"/>
      <c r="P16" s="104"/>
      <c r="R16" s="13"/>
    </row>
    <row r="17" spans="8:18" ht="21.75">
      <c r="H17" s="17"/>
      <c r="I17" s="85"/>
      <c r="K17" s="85"/>
      <c r="L17" s="13"/>
      <c r="N17" s="17"/>
      <c r="R17" s="13"/>
    </row>
    <row r="18" spans="8:18" ht="21.75">
      <c r="H18" s="28"/>
      <c r="K18" s="85"/>
      <c r="L18" s="13"/>
      <c r="N18" s="28"/>
      <c r="R18" s="13"/>
    </row>
    <row r="19" spans="8:18">
      <c r="L19" s="13"/>
      <c r="R19" s="13"/>
    </row>
    <row r="20" spans="8:18">
      <c r="L20" s="13"/>
      <c r="R20" s="13"/>
    </row>
    <row r="21" spans="8:18">
      <c r="L21" s="13"/>
      <c r="R21" s="13"/>
    </row>
    <row r="22" spans="8:18">
      <c r="L22" s="13"/>
      <c r="R22" s="13"/>
    </row>
  </sheetData>
  <autoFilter ref="A6:R6" xr:uid="{00000000-0009-0000-0000-000005000000}">
    <sortState xmlns:xlrd2="http://schemas.microsoft.com/office/spreadsheetml/2017/richdata2" ref="A7:R14">
      <sortCondition descending="1" ref="R6"/>
    </sortState>
  </autoFilter>
  <mergeCells count="7">
    <mergeCell ref="A4:H4"/>
    <mergeCell ref="B5:F5"/>
    <mergeCell ref="N5:R5"/>
    <mergeCell ref="A1:R1"/>
    <mergeCell ref="A2:R2"/>
    <mergeCell ref="A3:R3"/>
    <mergeCell ref="H5:L5"/>
  </mergeCells>
  <printOptions horizontalCentered="1"/>
  <pageMargins left="0.25" right="0.25" top="0.75" bottom="0.75" header="0.3" footer="0.3"/>
  <pageSetup paperSize="9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W20"/>
  <sheetViews>
    <sheetView rightToLeft="1" view="pageBreakPreview" zoomScale="90" zoomScaleNormal="100" zoomScaleSheetLayoutView="90" workbookViewId="0">
      <selection activeCell="I19" sqref="I19"/>
    </sheetView>
  </sheetViews>
  <sheetFormatPr defaultColWidth="9.140625" defaultRowHeight="17.25"/>
  <cols>
    <col min="1" max="1" width="30.5703125" style="88" bestFit="1" customWidth="1"/>
    <col min="2" max="2" width="0.5703125" style="88" customWidth="1"/>
    <col min="3" max="3" width="15" style="88" customWidth="1"/>
    <col min="4" max="4" width="0.85546875" style="88" customWidth="1"/>
    <col min="5" max="5" width="15.28515625" style="88" bestFit="1" customWidth="1"/>
    <col min="6" max="6" width="1.140625" style="88" customWidth="1"/>
    <col min="7" max="7" width="9.42578125" style="88" bestFit="1" customWidth="1"/>
    <col min="8" max="8" width="0.5703125" style="88" customWidth="1"/>
    <col min="9" max="9" width="19.42578125" style="88" customWidth="1"/>
    <col min="10" max="10" width="1" style="88" customWidth="1"/>
    <col min="11" max="11" width="15.28515625" style="88" customWidth="1"/>
    <col min="12" max="12" width="1.140625" style="88" customWidth="1"/>
    <col min="13" max="13" width="18.28515625" style="88" customWidth="1"/>
    <col min="14" max="14" width="1" style="88" customWidth="1"/>
    <col min="15" max="15" width="19.42578125" style="88" bestFit="1" customWidth="1"/>
    <col min="16" max="16" width="1.140625" style="88" customWidth="1"/>
    <col min="17" max="17" width="16" style="88" bestFit="1" customWidth="1"/>
    <col min="18" max="18" width="1.140625" style="88" customWidth="1"/>
    <col min="19" max="19" width="21.140625" style="88" bestFit="1" customWidth="1"/>
    <col min="20" max="20" width="2.85546875" style="88" customWidth="1"/>
    <col min="21" max="16384" width="9.140625" style="88"/>
  </cols>
  <sheetData>
    <row r="1" spans="1:23" ht="22.5">
      <c r="A1" s="268" t="s">
        <v>94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23" ht="22.5">
      <c r="A2" s="268" t="s">
        <v>57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</row>
    <row r="3" spans="1:23" ht="22.5">
      <c r="A3" s="268" t="s">
        <v>129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</row>
    <row r="4" spans="1:23" ht="22.5">
      <c r="A4" s="269" t="s">
        <v>77</v>
      </c>
      <c r="B4" s="269"/>
      <c r="C4" s="269"/>
      <c r="D4" s="269"/>
      <c r="E4" s="269"/>
      <c r="F4" s="269"/>
      <c r="G4" s="269"/>
      <c r="H4" s="269"/>
      <c r="I4" s="270"/>
      <c r="J4" s="270"/>
      <c r="K4" s="270"/>
      <c r="L4" s="270"/>
      <c r="M4" s="270"/>
      <c r="N4" s="270"/>
      <c r="O4" s="270"/>
      <c r="P4" s="270"/>
      <c r="Q4" s="269"/>
      <c r="R4" s="269"/>
      <c r="S4" s="269"/>
    </row>
    <row r="6" spans="1:23" ht="18.75">
      <c r="C6" s="266" t="s">
        <v>78</v>
      </c>
      <c r="D6" s="267"/>
      <c r="E6" s="267"/>
      <c r="F6" s="267"/>
      <c r="G6" s="267"/>
      <c r="I6" s="266" t="s">
        <v>79</v>
      </c>
      <c r="J6" s="267"/>
      <c r="K6" s="267"/>
      <c r="L6" s="267"/>
      <c r="M6" s="267"/>
      <c r="O6" s="266" t="s">
        <v>126</v>
      </c>
      <c r="P6" s="267"/>
      <c r="Q6" s="267"/>
      <c r="R6" s="267"/>
      <c r="S6" s="267"/>
    </row>
    <row r="7" spans="1:23" ht="56.25">
      <c r="A7" s="180" t="s">
        <v>80</v>
      </c>
      <c r="C7" s="122" t="s">
        <v>81</v>
      </c>
      <c r="E7" s="122" t="s">
        <v>82</v>
      </c>
      <c r="G7" s="122" t="s">
        <v>83</v>
      </c>
      <c r="I7" s="122" t="s">
        <v>84</v>
      </c>
      <c r="K7" s="122" t="s">
        <v>85</v>
      </c>
      <c r="M7" s="122" t="s">
        <v>86</v>
      </c>
      <c r="O7" s="122" t="s">
        <v>84</v>
      </c>
      <c r="Q7" s="122" t="s">
        <v>85</v>
      </c>
      <c r="S7" s="122" t="s">
        <v>86</v>
      </c>
    </row>
    <row r="8" spans="1:23" ht="21.75">
      <c r="A8" s="123"/>
      <c r="B8" s="124"/>
      <c r="C8" s="29"/>
      <c r="D8" s="29"/>
      <c r="E8" s="13"/>
      <c r="F8" s="13"/>
      <c r="G8" s="13"/>
      <c r="H8" s="13"/>
      <c r="I8" s="13">
        <v>0</v>
      </c>
      <c r="J8" s="13"/>
      <c r="K8" s="13">
        <v>0</v>
      </c>
      <c r="L8" s="13"/>
      <c r="M8" s="13">
        <v>0</v>
      </c>
      <c r="N8" s="13"/>
      <c r="O8" s="13">
        <v>0</v>
      </c>
      <c r="P8" s="13"/>
      <c r="Q8" s="13">
        <v>0</v>
      </c>
      <c r="R8" s="13"/>
      <c r="S8" s="13">
        <f t="shared" ref="S8" si="0">O8+Q8</f>
        <v>0</v>
      </c>
      <c r="U8" s="125"/>
      <c r="V8" s="125"/>
      <c r="W8" s="125"/>
    </row>
    <row r="9" spans="1:23" ht="18.75" thickBot="1">
      <c r="A9" s="126" t="s">
        <v>87</v>
      </c>
      <c r="E9" s="104"/>
      <c r="F9" s="104"/>
      <c r="G9" s="104"/>
      <c r="H9" s="104"/>
      <c r="I9" s="127">
        <f>SUM(I8:I8)</f>
        <v>0</v>
      </c>
      <c r="J9" s="128" t="e">
        <f>SUM(#REF!)</f>
        <v>#REF!</v>
      </c>
      <c r="K9" s="129">
        <f>SUM(K8:K8)</f>
        <v>0</v>
      </c>
      <c r="L9" s="128" t="e">
        <f>SUM(#REF!)</f>
        <v>#REF!</v>
      </c>
      <c r="M9" s="127">
        <f>SUM(M8:M8)</f>
        <v>0</v>
      </c>
      <c r="N9" s="128" t="e">
        <f>SUM(#REF!)</f>
        <v>#REF!</v>
      </c>
      <c r="O9" s="127">
        <f>SUM(O8:O8)</f>
        <v>0</v>
      </c>
      <c r="P9" s="128"/>
      <c r="Q9" s="127">
        <f>SUM(Q8:Q8)</f>
        <v>0</v>
      </c>
      <c r="R9" s="128" t="e">
        <f>SUM(#REF!)</f>
        <v>#REF!</v>
      </c>
      <c r="S9" s="127">
        <f>SUM(S8:S8)</f>
        <v>0</v>
      </c>
    </row>
    <row r="10" spans="1:23" ht="18.75" thickTop="1">
      <c r="I10" s="130"/>
      <c r="K10" s="130"/>
      <c r="M10" s="130"/>
      <c r="O10" s="130"/>
      <c r="Q10" s="130"/>
      <c r="S10" s="130"/>
    </row>
    <row r="11" spans="1:23" ht="16.5" customHeight="1"/>
    <row r="12" spans="1:23" s="13" customFormat="1" ht="18"/>
    <row r="13" spans="1:23" s="13" customFormat="1" ht="18"/>
    <row r="14" spans="1:23" s="13" customFormat="1" ht="18"/>
    <row r="15" spans="1:23" s="13" customFormat="1" ht="18"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23" s="13" customFormat="1" ht="18"/>
    <row r="17" s="13" customFormat="1" ht="18"/>
    <row r="18" s="13" customFormat="1" ht="18"/>
    <row r="19" s="13" customFormat="1" ht="18"/>
    <row r="20" s="13" customFormat="1" ht="18"/>
  </sheetData>
  <autoFilter ref="A7:S7" xr:uid="{00000000-0009-0000-0000-000006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S38"/>
  <sheetViews>
    <sheetView rightToLeft="1" view="pageBreakPreview" zoomScale="80" zoomScaleNormal="100" zoomScaleSheetLayoutView="80" workbookViewId="0">
      <selection activeCell="S16" sqref="S16"/>
    </sheetView>
  </sheetViews>
  <sheetFormatPr defaultColWidth="9.140625" defaultRowHeight="17.25"/>
  <cols>
    <col min="1" max="1" width="29.7109375" style="88" customWidth="1"/>
    <col min="2" max="2" width="1.140625" style="88" customWidth="1"/>
    <col min="3" max="3" width="17.28515625" style="88" bestFit="1" customWidth="1"/>
    <col min="4" max="4" width="0.85546875" style="88" customWidth="1"/>
    <col min="5" max="5" width="24.5703125" style="19" bestFit="1" customWidth="1"/>
    <col min="6" max="6" width="0.5703125" style="19" customWidth="1"/>
    <col min="7" max="7" width="22.5703125" style="19" bestFit="1" customWidth="1"/>
    <col min="8" max="8" width="0.85546875" style="19" customWidth="1"/>
    <col min="9" max="9" width="22" style="36" bestFit="1" customWidth="1"/>
    <col min="10" max="10" width="0.5703125" style="36" customWidth="1"/>
    <col min="11" max="11" width="13.7109375" style="36" customWidth="1"/>
    <col min="12" max="12" width="0.42578125" style="36" customWidth="1"/>
    <col min="13" max="13" width="26.28515625" style="36" bestFit="1" customWidth="1"/>
    <col min="14" max="14" width="0.42578125" style="36" customWidth="1"/>
    <col min="15" max="15" width="24.28515625" style="36" bestFit="1" customWidth="1"/>
    <col min="16" max="16" width="0.5703125" style="36" customWidth="1"/>
    <col min="17" max="17" width="24.28515625" style="36" bestFit="1" customWidth="1"/>
    <col min="18" max="18" width="9.140625" style="88"/>
    <col min="19" max="19" width="13.7109375" style="88" bestFit="1" customWidth="1"/>
    <col min="20" max="20" width="41.28515625" style="88" bestFit="1" customWidth="1"/>
    <col min="21" max="21" width="11.28515625" style="88" bestFit="1" customWidth="1"/>
    <col min="22" max="22" width="9.140625" style="88"/>
    <col min="23" max="23" width="41.28515625" style="88" bestFit="1" customWidth="1"/>
    <col min="24" max="24" width="10.85546875" style="88" bestFit="1" customWidth="1"/>
    <col min="25" max="16384" width="9.140625" style="88"/>
  </cols>
  <sheetData>
    <row r="1" spans="1:19" ht="22.5">
      <c r="A1" s="268" t="s">
        <v>94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9" ht="22.5">
      <c r="A2" s="268" t="s">
        <v>57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</row>
    <row r="3" spans="1:19" ht="22.5">
      <c r="A3" s="268" t="str">
        <f>' سهام'!A3:W3</f>
        <v>برای ماه منتهی به 1402/08/30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</row>
    <row r="4" spans="1:19" ht="22.5">
      <c r="A4" s="269" t="s">
        <v>65</v>
      </c>
      <c r="B4" s="269"/>
      <c r="C4" s="269"/>
      <c r="D4" s="269"/>
      <c r="E4" s="269"/>
      <c r="F4" s="269"/>
      <c r="G4" s="269"/>
      <c r="H4" s="269"/>
      <c r="I4" s="269"/>
      <c r="J4" s="270"/>
      <c r="K4" s="270"/>
      <c r="L4" s="270"/>
      <c r="M4" s="270"/>
      <c r="N4" s="270"/>
      <c r="O4" s="270"/>
      <c r="P4" s="270"/>
      <c r="Q4" s="270"/>
    </row>
    <row r="5" spans="1:19" ht="15.75" customHeight="1" thickBot="1">
      <c r="A5" s="85"/>
      <c r="B5" s="85"/>
      <c r="C5" s="274" t="s">
        <v>130</v>
      </c>
      <c r="D5" s="274"/>
      <c r="E5" s="274"/>
      <c r="F5" s="274"/>
      <c r="G5" s="274"/>
      <c r="H5" s="274"/>
      <c r="I5" s="274"/>
      <c r="J5" s="2"/>
      <c r="K5" s="275" t="s">
        <v>131</v>
      </c>
      <c r="L5" s="275"/>
      <c r="M5" s="275"/>
      <c r="N5" s="275"/>
      <c r="O5" s="275"/>
      <c r="P5" s="275"/>
      <c r="Q5" s="275"/>
    </row>
    <row r="6" spans="1:19" ht="22.5" thickBot="1">
      <c r="A6" s="131" t="s">
        <v>38</v>
      </c>
      <c r="B6" s="131"/>
      <c r="C6" s="132" t="s">
        <v>3</v>
      </c>
      <c r="D6" s="131"/>
      <c r="E6" s="50" t="s">
        <v>46</v>
      </c>
      <c r="F6" s="51"/>
      <c r="G6" s="52" t="s">
        <v>43</v>
      </c>
      <c r="H6" s="51"/>
      <c r="I6" s="32" t="s">
        <v>47</v>
      </c>
      <c r="J6" s="2"/>
      <c r="K6" s="30" t="s">
        <v>3</v>
      </c>
      <c r="L6" s="31"/>
      <c r="M6" s="32" t="s">
        <v>21</v>
      </c>
      <c r="N6" s="31"/>
      <c r="O6" s="30" t="s">
        <v>43</v>
      </c>
      <c r="P6" s="31"/>
      <c r="Q6" s="33" t="s">
        <v>47</v>
      </c>
    </row>
    <row r="7" spans="1:19" ht="21.75">
      <c r="A7" s="88" t="s">
        <v>103</v>
      </c>
      <c r="B7" s="131"/>
      <c r="C7" s="61">
        <v>10790</v>
      </c>
      <c r="D7" s="131"/>
      <c r="E7" s="61">
        <f>VLOOKUP(A7,' سهام'!$A$10:$M$27,13,0)</f>
        <v>41045414</v>
      </c>
      <c r="F7" s="51"/>
      <c r="G7" s="53">
        <v>-42055862</v>
      </c>
      <c r="H7" s="51"/>
      <c r="I7" s="53">
        <f>E7+G7</f>
        <v>-1010448</v>
      </c>
      <c r="J7" s="2"/>
      <c r="K7" s="53">
        <v>10790</v>
      </c>
      <c r="L7" s="31"/>
      <c r="M7" s="53">
        <v>41045414</v>
      </c>
      <c r="N7" s="31"/>
      <c r="O7" s="53">
        <v>-42055862</v>
      </c>
      <c r="P7" s="31"/>
      <c r="Q7" s="53">
        <f>O7+M7</f>
        <v>-1010448</v>
      </c>
      <c r="R7" s="104"/>
      <c r="S7" s="104"/>
    </row>
    <row r="8" spans="1:19" ht="21.75">
      <c r="A8" s="88" t="s">
        <v>111</v>
      </c>
      <c r="B8" s="131"/>
      <c r="C8" s="61">
        <v>2548</v>
      </c>
      <c r="D8" s="131"/>
      <c r="E8" s="61">
        <f>VLOOKUP(A8,' سهام'!$A$10:$M$27,13,0)</f>
        <v>33286198</v>
      </c>
      <c r="F8" s="51"/>
      <c r="G8" s="53">
        <v>-34522602</v>
      </c>
      <c r="H8" s="51"/>
      <c r="I8" s="53">
        <f t="shared" ref="I8:I20" si="0">E8+G8</f>
        <v>-1236404</v>
      </c>
      <c r="J8" s="2"/>
      <c r="K8" s="53">
        <v>2548</v>
      </c>
      <c r="L8" s="31"/>
      <c r="M8" s="53">
        <v>33286198</v>
      </c>
      <c r="N8" s="31"/>
      <c r="O8" s="53">
        <v>-34522602</v>
      </c>
      <c r="P8" s="31"/>
      <c r="Q8" s="53">
        <f t="shared" ref="Q8:Q20" si="1">O8+M8</f>
        <v>-1236404</v>
      </c>
      <c r="R8" s="104"/>
      <c r="S8" s="104"/>
    </row>
    <row r="9" spans="1:19" ht="21.75">
      <c r="A9" s="88" t="s">
        <v>113</v>
      </c>
      <c r="B9" s="131"/>
      <c r="C9" s="61">
        <v>1374</v>
      </c>
      <c r="D9" s="131"/>
      <c r="E9" s="61">
        <f>VLOOKUP(A9,' سهام'!$A$10:$M$27,13,0)</f>
        <v>19976130</v>
      </c>
      <c r="F9" s="51"/>
      <c r="G9" s="53">
        <v>-19845433</v>
      </c>
      <c r="H9" s="51"/>
      <c r="I9" s="53">
        <f t="shared" si="0"/>
        <v>130697</v>
      </c>
      <c r="J9" s="2"/>
      <c r="K9" s="53">
        <v>1374</v>
      </c>
      <c r="L9" s="31"/>
      <c r="M9" s="53">
        <v>19976130</v>
      </c>
      <c r="N9" s="31"/>
      <c r="O9" s="53">
        <v>-19845433</v>
      </c>
      <c r="P9" s="31"/>
      <c r="Q9" s="53">
        <f t="shared" si="1"/>
        <v>130697</v>
      </c>
      <c r="R9" s="104"/>
      <c r="S9" s="104"/>
    </row>
    <row r="10" spans="1:19" ht="21.75">
      <c r="A10" s="88" t="s">
        <v>100</v>
      </c>
      <c r="B10" s="131"/>
      <c r="C10" s="61">
        <v>1189</v>
      </c>
      <c r="D10" s="131"/>
      <c r="E10" s="61">
        <f>VLOOKUP(A10,' سهام'!$A$10:$M$27,13,0)</f>
        <v>50912580</v>
      </c>
      <c r="F10" s="51"/>
      <c r="G10" s="53">
        <v>-51945623</v>
      </c>
      <c r="H10" s="51"/>
      <c r="I10" s="53">
        <f t="shared" si="0"/>
        <v>-1033043</v>
      </c>
      <c r="J10" s="2"/>
      <c r="K10" s="53">
        <v>1189</v>
      </c>
      <c r="L10" s="31"/>
      <c r="M10" s="53">
        <v>50912580</v>
      </c>
      <c r="N10" s="31"/>
      <c r="O10" s="53">
        <v>-51945623</v>
      </c>
      <c r="P10" s="31"/>
      <c r="Q10" s="53">
        <f t="shared" si="1"/>
        <v>-1033043</v>
      </c>
      <c r="R10" s="104"/>
      <c r="S10" s="104"/>
    </row>
    <row r="11" spans="1:19" ht="21.75">
      <c r="A11" s="88" t="s">
        <v>102</v>
      </c>
      <c r="B11" s="131"/>
      <c r="C11" s="61">
        <v>3484</v>
      </c>
      <c r="D11" s="131"/>
      <c r="E11" s="61">
        <f>VLOOKUP(A11,' سهام'!$A$10:$M$27,13,0)</f>
        <v>62545808</v>
      </c>
      <c r="F11" s="51"/>
      <c r="G11" s="53">
        <v>-64970949</v>
      </c>
      <c r="H11" s="51"/>
      <c r="I11" s="53">
        <f t="shared" si="0"/>
        <v>-2425141</v>
      </c>
      <c r="J11" s="2"/>
      <c r="K11" s="53">
        <v>3484</v>
      </c>
      <c r="L11" s="31"/>
      <c r="M11" s="53">
        <v>62545808</v>
      </c>
      <c r="N11" s="31"/>
      <c r="O11" s="53">
        <v>-64970949</v>
      </c>
      <c r="P11" s="31"/>
      <c r="Q11" s="53">
        <f t="shared" si="1"/>
        <v>-2425141</v>
      </c>
      <c r="R11" s="104"/>
      <c r="S11" s="104"/>
    </row>
    <row r="12" spans="1:19" ht="21.75">
      <c r="A12" s="88" t="s">
        <v>96</v>
      </c>
      <c r="B12" s="131"/>
      <c r="C12" s="61">
        <v>11393</v>
      </c>
      <c r="D12" s="131"/>
      <c r="E12" s="61">
        <f>VLOOKUP(A12,' سهام'!$A$10:$M$27,13,0)</f>
        <v>34246973</v>
      </c>
      <c r="F12" s="51"/>
      <c r="G12" s="53">
        <v>-34768399</v>
      </c>
      <c r="H12" s="51"/>
      <c r="I12" s="53">
        <f>E12+G12</f>
        <v>-521426</v>
      </c>
      <c r="J12" s="2"/>
      <c r="K12" s="53">
        <v>11393</v>
      </c>
      <c r="L12" s="31"/>
      <c r="M12" s="53">
        <v>34246973</v>
      </c>
      <c r="N12" s="31"/>
      <c r="O12" s="53">
        <v>-34768399</v>
      </c>
      <c r="P12" s="31"/>
      <c r="Q12" s="53">
        <f t="shared" si="1"/>
        <v>-521426</v>
      </c>
      <c r="R12" s="104"/>
      <c r="S12" s="104"/>
    </row>
    <row r="13" spans="1:19" ht="21.75">
      <c r="A13" s="88" t="s">
        <v>99</v>
      </c>
      <c r="B13" s="131"/>
      <c r="C13" s="61">
        <v>2739</v>
      </c>
      <c r="D13" s="131"/>
      <c r="E13" s="61">
        <f>VLOOKUP(A13,' سهام'!$A$10:$M$27,13,0)</f>
        <v>41847962</v>
      </c>
      <c r="F13" s="51"/>
      <c r="G13" s="53">
        <v>-42120215</v>
      </c>
      <c r="H13" s="51"/>
      <c r="I13" s="53">
        <f t="shared" si="0"/>
        <v>-272253</v>
      </c>
      <c r="J13" s="2"/>
      <c r="K13" s="53">
        <v>2739</v>
      </c>
      <c r="L13" s="31"/>
      <c r="M13" s="53">
        <v>41847962</v>
      </c>
      <c r="N13" s="31"/>
      <c r="O13" s="53">
        <v>-42120215</v>
      </c>
      <c r="P13" s="31"/>
      <c r="Q13" s="53">
        <f t="shared" si="1"/>
        <v>-272253</v>
      </c>
      <c r="R13" s="104"/>
      <c r="S13" s="104"/>
    </row>
    <row r="14" spans="1:19" ht="21.75">
      <c r="A14" s="88" t="s">
        <v>97</v>
      </c>
      <c r="B14" s="131"/>
      <c r="C14" s="61">
        <v>22699</v>
      </c>
      <c r="D14" s="131"/>
      <c r="E14" s="61">
        <f>VLOOKUP(A14,' سهام'!$A$10:$M$27,13,0)</f>
        <v>471805898</v>
      </c>
      <c r="F14" s="51"/>
      <c r="G14" s="53">
        <v>-461658232</v>
      </c>
      <c r="H14" s="51"/>
      <c r="I14" s="53">
        <f t="shared" si="0"/>
        <v>10147666</v>
      </c>
      <c r="J14" s="2"/>
      <c r="K14" s="53">
        <v>22699</v>
      </c>
      <c r="L14" s="31"/>
      <c r="M14" s="53">
        <v>471805898</v>
      </c>
      <c r="N14" s="31"/>
      <c r="O14" s="53">
        <v>-461658232</v>
      </c>
      <c r="P14" s="31"/>
      <c r="Q14" s="53">
        <f t="shared" si="1"/>
        <v>10147666</v>
      </c>
      <c r="R14" s="104"/>
      <c r="S14" s="104"/>
    </row>
    <row r="15" spans="1:19" ht="21.75">
      <c r="A15" s="88" t="s">
        <v>112</v>
      </c>
      <c r="B15" s="131"/>
      <c r="C15" s="61">
        <v>571</v>
      </c>
      <c r="D15" s="131"/>
      <c r="E15" s="61">
        <f>VLOOKUP(A15,' سهام'!$A$10:$M$27,13,0)</f>
        <v>12339440</v>
      </c>
      <c r="F15" s="51"/>
      <c r="G15" s="53">
        <v>-12356708</v>
      </c>
      <c r="H15" s="51"/>
      <c r="I15" s="53">
        <f t="shared" si="0"/>
        <v>-17268</v>
      </c>
      <c r="J15" s="2"/>
      <c r="K15" s="53">
        <v>571</v>
      </c>
      <c r="L15" s="31"/>
      <c r="M15" s="53">
        <v>12339440</v>
      </c>
      <c r="N15" s="31"/>
      <c r="O15" s="53">
        <v>-12356708</v>
      </c>
      <c r="P15" s="31"/>
      <c r="Q15" s="53">
        <f t="shared" si="1"/>
        <v>-17268</v>
      </c>
      <c r="R15" s="104"/>
      <c r="S15" s="104"/>
    </row>
    <row r="16" spans="1:19" ht="21.75">
      <c r="A16" s="88" t="s">
        <v>115</v>
      </c>
      <c r="B16" s="131"/>
      <c r="C16" s="61">
        <v>277</v>
      </c>
      <c r="D16" s="131"/>
      <c r="E16" s="61">
        <f>VLOOKUP(A16,' سهام'!$A$10:$M$27,13,0)</f>
        <v>6178899</v>
      </c>
      <c r="F16" s="51"/>
      <c r="G16" s="53">
        <v>-6338599</v>
      </c>
      <c r="H16" s="51"/>
      <c r="I16" s="53">
        <f t="shared" si="0"/>
        <v>-159700</v>
      </c>
      <c r="J16" s="2"/>
      <c r="K16" s="53">
        <v>277</v>
      </c>
      <c r="L16" s="31"/>
      <c r="M16" s="53">
        <v>6178899</v>
      </c>
      <c r="N16" s="31"/>
      <c r="O16" s="53">
        <v>-6338599</v>
      </c>
      <c r="P16" s="31"/>
      <c r="Q16" s="53">
        <f t="shared" si="1"/>
        <v>-159700</v>
      </c>
      <c r="R16" s="104"/>
      <c r="S16" s="104"/>
    </row>
    <row r="17" spans="1:19" ht="21.75">
      <c r="A17" s="88" t="s">
        <v>110</v>
      </c>
      <c r="B17" s="131"/>
      <c r="C17" s="61">
        <v>2000000</v>
      </c>
      <c r="D17" s="131"/>
      <c r="E17" s="61">
        <f>VLOOKUP(A17,' سهام'!$A$10:$M$27,13,0)</f>
        <v>13151282424</v>
      </c>
      <c r="F17" s="51"/>
      <c r="G17" s="53">
        <v>-9620415901</v>
      </c>
      <c r="H17" s="51"/>
      <c r="I17" s="53">
        <f t="shared" si="0"/>
        <v>3530866523</v>
      </c>
      <c r="J17" s="2"/>
      <c r="K17" s="53">
        <v>2000000</v>
      </c>
      <c r="L17" s="31"/>
      <c r="M17" s="53">
        <v>13151282424</v>
      </c>
      <c r="N17" s="31"/>
      <c r="O17" s="53">
        <v>-9620415901</v>
      </c>
      <c r="P17" s="31"/>
      <c r="Q17" s="53">
        <f t="shared" si="1"/>
        <v>3530866523</v>
      </c>
      <c r="R17" s="104"/>
      <c r="S17" s="104"/>
    </row>
    <row r="18" spans="1:19" ht="21.75">
      <c r="A18" s="88" t="s">
        <v>98</v>
      </c>
      <c r="B18" s="131"/>
      <c r="C18" s="61">
        <v>1963</v>
      </c>
      <c r="D18" s="131"/>
      <c r="E18" s="61">
        <f>VLOOKUP(A18,' سهام'!$A$10:$M$27,13,0)</f>
        <v>34957972</v>
      </c>
      <c r="F18" s="51"/>
      <c r="G18" s="53">
        <v>-36997030</v>
      </c>
      <c r="H18" s="51"/>
      <c r="I18" s="53">
        <f t="shared" si="0"/>
        <v>-2039058</v>
      </c>
      <c r="J18" s="2"/>
      <c r="K18" s="53">
        <v>1963</v>
      </c>
      <c r="L18" s="31"/>
      <c r="M18" s="53">
        <v>34957972</v>
      </c>
      <c r="N18" s="31"/>
      <c r="O18" s="53">
        <v>-36997030</v>
      </c>
      <c r="P18" s="31"/>
      <c r="Q18" s="53">
        <f t="shared" si="1"/>
        <v>-2039058</v>
      </c>
      <c r="R18" s="104"/>
      <c r="S18" s="104"/>
    </row>
    <row r="19" spans="1:19" ht="21.75">
      <c r="A19" s="88" t="s">
        <v>95</v>
      </c>
      <c r="B19" s="131"/>
      <c r="C19" s="61">
        <v>70596</v>
      </c>
      <c r="D19" s="131"/>
      <c r="E19" s="61">
        <f>VLOOKUP(A19,' سهام'!$A$10:$M$27,13,0)</f>
        <v>771394979</v>
      </c>
      <c r="F19" s="51"/>
      <c r="G19" s="53">
        <v>-737549274</v>
      </c>
      <c r="H19" s="51"/>
      <c r="I19" s="53">
        <f t="shared" si="0"/>
        <v>33845705</v>
      </c>
      <c r="J19" s="2"/>
      <c r="K19" s="53">
        <v>70596</v>
      </c>
      <c r="L19" s="31"/>
      <c r="M19" s="53">
        <v>771394979</v>
      </c>
      <c r="N19" s="31"/>
      <c r="O19" s="53">
        <v>-737549274</v>
      </c>
      <c r="P19" s="31"/>
      <c r="Q19" s="53">
        <f t="shared" si="1"/>
        <v>33845705</v>
      </c>
      <c r="R19" s="104"/>
      <c r="S19" s="104"/>
    </row>
    <row r="20" spans="1:19" ht="21.75">
      <c r="A20" s="88" t="s">
        <v>101</v>
      </c>
      <c r="B20" s="131"/>
      <c r="C20" s="61">
        <v>2218</v>
      </c>
      <c r="D20" s="131"/>
      <c r="E20" s="61">
        <f>VLOOKUP(A20,' سهام'!$A$10:$M$27,13,0)</f>
        <v>52406358</v>
      </c>
      <c r="F20" s="51"/>
      <c r="G20" s="53">
        <v>-54723208</v>
      </c>
      <c r="H20" s="51"/>
      <c r="I20" s="53">
        <f t="shared" si="0"/>
        <v>-2316850</v>
      </c>
      <c r="J20" s="2"/>
      <c r="K20" s="53">
        <v>2218</v>
      </c>
      <c r="L20" s="31"/>
      <c r="M20" s="53">
        <v>52406358</v>
      </c>
      <c r="N20" s="31"/>
      <c r="O20" s="53">
        <v>-54723208</v>
      </c>
      <c r="P20" s="31"/>
      <c r="Q20" s="53">
        <f t="shared" si="1"/>
        <v>-2316850</v>
      </c>
      <c r="R20" s="104"/>
      <c r="S20" s="104"/>
    </row>
    <row r="21" spans="1:19" ht="22.5" thickBot="1">
      <c r="A21" s="61" t="s">
        <v>2</v>
      </c>
      <c r="B21" s="61"/>
      <c r="C21" s="61"/>
      <c r="E21" s="213">
        <f>SUM(E7:E20)</f>
        <v>14784227035</v>
      </c>
      <c r="F21" s="17"/>
      <c r="G21" s="210">
        <f>SUM(G7:G20)</f>
        <v>-11220268035</v>
      </c>
      <c r="H21" s="17"/>
      <c r="I21" s="210">
        <f>SUM(I7:I20)</f>
        <v>3563959000</v>
      </c>
      <c r="J21" s="214"/>
      <c r="K21" s="53"/>
      <c r="L21" s="215"/>
      <c r="M21" s="210">
        <f>SUM(M7:M20)</f>
        <v>14784227035</v>
      </c>
      <c r="N21" s="17"/>
      <c r="O21" s="210">
        <f>SUM(O7:O20)</f>
        <v>-11220268035</v>
      </c>
      <c r="P21" s="216"/>
      <c r="Q21" s="210">
        <f>SUM(Q7:Q20)</f>
        <v>3563959000</v>
      </c>
    </row>
    <row r="22" spans="1:19" ht="23.25" thickTop="1">
      <c r="E22" s="54"/>
      <c r="F22" s="88"/>
      <c r="G22" s="54"/>
      <c r="H22" s="54"/>
      <c r="I22" s="54"/>
      <c r="J22" s="88"/>
      <c r="K22" s="88"/>
      <c r="L22" s="88"/>
      <c r="M22" s="56"/>
      <c r="N22" s="88"/>
      <c r="O22" s="56"/>
      <c r="P22" s="88"/>
      <c r="Q22" s="56"/>
    </row>
    <row r="23" spans="1:19" ht="22.5">
      <c r="E23" s="54"/>
      <c r="F23" s="88"/>
      <c r="G23" s="54"/>
      <c r="H23" s="88"/>
      <c r="I23" s="54"/>
      <c r="J23" s="88"/>
      <c r="K23" s="88"/>
      <c r="L23" s="88"/>
      <c r="M23" s="54"/>
      <c r="N23" s="88"/>
      <c r="O23" s="54"/>
      <c r="P23" s="88"/>
      <c r="Q23" s="54"/>
    </row>
    <row r="24" spans="1:19" ht="10.5" customHeight="1">
      <c r="A24" s="85"/>
      <c r="B24" s="85"/>
      <c r="C24" s="85"/>
      <c r="D24" s="85"/>
      <c r="E24" s="49"/>
      <c r="F24" s="49"/>
      <c r="G24" s="49"/>
      <c r="H24" s="49"/>
      <c r="I24" s="2"/>
      <c r="J24" s="2"/>
      <c r="K24" s="2"/>
      <c r="L24" s="2"/>
      <c r="M24" s="2"/>
      <c r="N24" s="2"/>
      <c r="O24" s="2"/>
      <c r="P24" s="2"/>
      <c r="Q24" s="2"/>
    </row>
    <row r="25" spans="1:19" ht="21.75">
      <c r="A25" s="271" t="s">
        <v>45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3"/>
    </row>
    <row r="26" spans="1:19" ht="6" customHeight="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</row>
    <row r="27" spans="1:19" ht="18" customHeight="1">
      <c r="A27" s="134"/>
      <c r="B27" s="134"/>
      <c r="C27" s="134"/>
      <c r="D27" s="134"/>
      <c r="E27" s="104"/>
      <c r="F27" s="88"/>
      <c r="G27" s="88"/>
      <c r="H27" s="88"/>
      <c r="I27" s="135"/>
      <c r="J27" s="88"/>
      <c r="K27" s="135"/>
      <c r="L27" s="88"/>
      <c r="M27" s="135"/>
      <c r="N27" s="88"/>
      <c r="O27" s="88"/>
      <c r="P27" s="88"/>
      <c r="Q27" s="69"/>
    </row>
    <row r="28" spans="1:19" ht="27">
      <c r="C28" s="104"/>
      <c r="E28" s="173"/>
      <c r="F28" s="88"/>
      <c r="G28" s="88"/>
      <c r="H28" s="88"/>
      <c r="I28" s="135"/>
      <c r="J28" s="88"/>
      <c r="K28" s="104"/>
      <c r="L28" s="88"/>
      <c r="M28" s="173"/>
      <c r="N28" s="88"/>
      <c r="O28" s="88"/>
      <c r="P28" s="88"/>
      <c r="Q28" s="69"/>
    </row>
    <row r="29" spans="1:19" s="37" customFormat="1" ht="24"/>
    <row r="30" spans="1:19" s="37" customFormat="1" ht="24"/>
    <row r="31" spans="1:19" s="37" customFormat="1" ht="24"/>
    <row r="32" spans="1:19" s="37" customFormat="1" ht="24"/>
    <row r="33" spans="5:17" s="37" customFormat="1" ht="24"/>
    <row r="34" spans="5:17" s="37" customFormat="1" ht="24"/>
    <row r="35" spans="5:17"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5:17" ht="24">
      <c r="Q36" s="35"/>
    </row>
    <row r="37" spans="5:17" ht="24">
      <c r="Q37" s="37"/>
    </row>
    <row r="38" spans="5:17" ht="24">
      <c r="Q38" s="37"/>
    </row>
  </sheetData>
  <autoFilter ref="A6:Q6" xr:uid="{00000000-0009-0000-0000-000007000000}">
    <sortState xmlns:xlrd2="http://schemas.microsoft.com/office/spreadsheetml/2017/richdata2" ref="A7:Q20">
      <sortCondition ref="A6"/>
    </sortState>
  </autoFilter>
  <sortState xmlns:xlrd2="http://schemas.microsoft.com/office/spreadsheetml/2017/richdata2" ref="T7:U31">
    <sortCondition descending="1" ref="T6:T31"/>
  </sortState>
  <mergeCells count="8">
    <mergeCell ref="A1:Q1"/>
    <mergeCell ref="A2:Q2"/>
    <mergeCell ref="A3:Q3"/>
    <mergeCell ref="A25:Q25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6" fitToHeight="0" orientation="landscape" r:id="rId1"/>
  <rowBreaks count="1" manualBreakCount="1">
    <brk id="26" max="15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U43"/>
  <sheetViews>
    <sheetView rightToLeft="1" view="pageBreakPreview" topLeftCell="A7" zoomScale="80" zoomScaleNormal="100" zoomScaleSheetLayoutView="80" workbookViewId="0">
      <selection activeCell="M34" sqref="M34"/>
    </sheetView>
  </sheetViews>
  <sheetFormatPr defaultColWidth="9.140625" defaultRowHeight="21.75"/>
  <cols>
    <col min="1" max="1" width="33.5703125" style="88" customWidth="1"/>
    <col min="2" max="2" width="0.5703125" style="88" customWidth="1"/>
    <col min="3" max="3" width="20.28515625" style="2" bestFit="1" customWidth="1"/>
    <col min="4" max="4" width="0.85546875" style="2" customWidth="1"/>
    <col min="5" max="5" width="25.7109375" style="2" bestFit="1" customWidth="1"/>
    <col min="6" max="6" width="0.85546875" style="2" customWidth="1"/>
    <col min="7" max="7" width="25.7109375" style="2" bestFit="1" customWidth="1"/>
    <col min="8" max="8" width="0.7109375" style="2" customWidth="1"/>
    <col min="9" max="9" width="25.140625" style="2" customWidth="1"/>
    <col min="10" max="10" width="1.42578125" style="2" customWidth="1"/>
    <col min="11" max="11" width="17.7109375" style="2" bestFit="1" customWidth="1"/>
    <col min="12" max="12" width="1.140625" style="2" customWidth="1"/>
    <col min="13" max="13" width="25.7109375" style="2" bestFit="1" customWidth="1"/>
    <col min="14" max="14" width="1" style="2" customWidth="1"/>
    <col min="15" max="15" width="25.7109375" style="2" bestFit="1" customWidth="1"/>
    <col min="16" max="16" width="1.140625" style="2" customWidth="1"/>
    <col min="17" max="17" width="25.7109375" style="2" bestFit="1" customWidth="1"/>
    <col min="18" max="18" width="10" style="88" bestFit="1" customWidth="1"/>
    <col min="19" max="19" width="13.140625" style="88" bestFit="1" customWidth="1"/>
    <col min="20" max="20" width="42.28515625" style="88" bestFit="1" customWidth="1"/>
    <col min="21" max="21" width="15.5703125" style="19" bestFit="1" customWidth="1"/>
    <col min="22" max="22" width="12.140625" style="88" bestFit="1" customWidth="1"/>
    <col min="23" max="16384" width="9.140625" style="88"/>
  </cols>
  <sheetData>
    <row r="1" spans="1:20" ht="22.5">
      <c r="A1" s="268" t="s">
        <v>94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20" ht="22.5">
      <c r="A2" s="268" t="s">
        <v>57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</row>
    <row r="3" spans="1:20" ht="22.5">
      <c r="A3" s="268" t="str">
        <f>' سهام'!A3:W3</f>
        <v>برای ماه منتهی به 1402/08/30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</row>
    <row r="4" spans="1:20">
      <c r="A4" s="252" t="s">
        <v>64</v>
      </c>
      <c r="B4" s="252"/>
      <c r="C4" s="252"/>
      <c r="D4" s="252"/>
      <c r="E4" s="252"/>
      <c r="F4" s="252"/>
      <c r="G4" s="252"/>
      <c r="H4" s="252"/>
    </row>
    <row r="5" spans="1:20" ht="16.5" customHeight="1" thickBot="1">
      <c r="A5" s="74"/>
      <c r="B5" s="74"/>
      <c r="C5" s="279" t="s">
        <v>130</v>
      </c>
      <c r="D5" s="279"/>
      <c r="E5" s="279"/>
      <c r="F5" s="279"/>
      <c r="G5" s="279"/>
      <c r="H5" s="279"/>
      <c r="I5" s="279"/>
      <c r="K5" s="275" t="s">
        <v>131</v>
      </c>
      <c r="L5" s="275"/>
      <c r="M5" s="275"/>
      <c r="N5" s="275"/>
      <c r="O5" s="275"/>
      <c r="P5" s="275"/>
      <c r="Q5" s="275"/>
    </row>
    <row r="6" spans="1:20" ht="27" customHeight="1" thickBot="1">
      <c r="A6" s="94" t="s">
        <v>38</v>
      </c>
      <c r="B6" s="94"/>
      <c r="C6" s="30" t="s">
        <v>3</v>
      </c>
      <c r="D6" s="31"/>
      <c r="E6" s="32" t="s">
        <v>21</v>
      </c>
      <c r="F6" s="31"/>
      <c r="G6" s="30" t="s">
        <v>43</v>
      </c>
      <c r="H6" s="31"/>
      <c r="I6" s="33" t="s">
        <v>44</v>
      </c>
      <c r="K6" s="30" t="s">
        <v>3</v>
      </c>
      <c r="L6" s="31"/>
      <c r="M6" s="32" t="s">
        <v>21</v>
      </c>
      <c r="N6" s="31"/>
      <c r="O6" s="30" t="s">
        <v>43</v>
      </c>
      <c r="P6" s="31"/>
      <c r="Q6" s="33" t="s">
        <v>44</v>
      </c>
    </row>
    <row r="7" spans="1:20">
      <c r="A7" s="136" t="s">
        <v>109</v>
      </c>
      <c r="C7" s="17">
        <f>VLOOKUP(A7,' سهام'!$A$10:$L$27,12,0)</f>
        <v>0</v>
      </c>
      <c r="D7" s="17"/>
      <c r="E7" s="17">
        <v>991194774</v>
      </c>
      <c r="F7" s="17"/>
      <c r="G7" s="17">
        <v>-917909272</v>
      </c>
      <c r="H7" s="17"/>
      <c r="I7" s="17">
        <f>G7+E7</f>
        <v>73285502</v>
      </c>
      <c r="J7" s="17"/>
      <c r="K7" s="17">
        <v>0</v>
      </c>
      <c r="L7" s="17"/>
      <c r="M7" s="17">
        <f>VLOOKUP(A7,' سهام'!$A$10:$U$27,21,0)</f>
        <v>991194774</v>
      </c>
      <c r="N7" s="17"/>
      <c r="O7" s="17">
        <v>-917909272</v>
      </c>
      <c r="P7" s="17"/>
      <c r="Q7" s="17">
        <f>M7+O7</f>
        <v>73285502</v>
      </c>
      <c r="R7" s="104"/>
      <c r="S7" s="104"/>
      <c r="T7" s="104"/>
    </row>
    <row r="8" spans="1:20">
      <c r="A8" s="136" t="s">
        <v>110</v>
      </c>
      <c r="C8" s="17">
        <f>VLOOKUP(A8,' سهام'!$A$10:$L$27,12,0)</f>
        <v>2000000</v>
      </c>
      <c r="D8" s="17"/>
      <c r="E8" s="17">
        <v>86113868043</v>
      </c>
      <c r="F8" s="17"/>
      <c r="G8" s="17">
        <v>-61752372181</v>
      </c>
      <c r="H8" s="17"/>
      <c r="I8" s="17">
        <f t="shared" ref="I8:I25" si="0">G8+E8</f>
        <v>24361495862</v>
      </c>
      <c r="J8" s="17"/>
      <c r="K8" s="17">
        <v>2000000</v>
      </c>
      <c r="L8" s="17"/>
      <c r="M8" s="17">
        <f>VLOOKUP(A8,' سهام'!$A$10:$U$27,21,0)</f>
        <v>86113868043</v>
      </c>
      <c r="N8" s="17"/>
      <c r="O8" s="17">
        <v>-61752372181</v>
      </c>
      <c r="P8" s="17"/>
      <c r="Q8" s="17">
        <f t="shared" ref="Q8:Q25" si="1">M8+O8</f>
        <v>24361495862</v>
      </c>
      <c r="R8" s="104"/>
      <c r="S8" s="104"/>
      <c r="T8" s="104"/>
    </row>
    <row r="9" spans="1:20">
      <c r="A9" s="136" t="s">
        <v>111</v>
      </c>
      <c r="C9" s="17">
        <f>VLOOKUP(A9,' سهام'!$A$10:$L$27,12,0)</f>
        <v>2548</v>
      </c>
      <c r="D9" s="17"/>
      <c r="E9" s="17">
        <v>5364722820</v>
      </c>
      <c r="F9" s="17"/>
      <c r="G9" s="17">
        <v>-5349025020</v>
      </c>
      <c r="H9" s="17"/>
      <c r="I9" s="17">
        <f t="shared" si="0"/>
        <v>15697800</v>
      </c>
      <c r="J9" s="17"/>
      <c r="K9" s="17">
        <v>2548</v>
      </c>
      <c r="L9" s="17"/>
      <c r="M9" s="17">
        <f>VLOOKUP(A9,' سهام'!$A$10:$U$27,21,0)</f>
        <v>5364722820</v>
      </c>
      <c r="N9" s="17"/>
      <c r="O9" s="17">
        <v>-5349025020</v>
      </c>
      <c r="P9" s="17"/>
      <c r="Q9" s="17">
        <f t="shared" si="1"/>
        <v>15697800</v>
      </c>
      <c r="R9" s="104"/>
      <c r="S9" s="104"/>
      <c r="T9" s="104"/>
    </row>
    <row r="10" spans="1:20">
      <c r="A10" s="136" t="s">
        <v>95</v>
      </c>
      <c r="C10" s="17">
        <f>VLOOKUP(A10,' سهام'!$A$10:$L$27,12,0)</f>
        <v>70596</v>
      </c>
      <c r="D10" s="17"/>
      <c r="E10" s="17">
        <v>10221086502</v>
      </c>
      <c r="F10" s="17"/>
      <c r="G10" s="17">
        <v>-9774669620</v>
      </c>
      <c r="H10" s="17"/>
      <c r="I10" s="17">
        <f t="shared" si="0"/>
        <v>446416882</v>
      </c>
      <c r="J10" s="17"/>
      <c r="K10" s="17">
        <v>70596</v>
      </c>
      <c r="L10" s="17"/>
      <c r="M10" s="17">
        <f>VLOOKUP(A10,' سهام'!$A$10:$U$27,21,0)</f>
        <v>10221086502</v>
      </c>
      <c r="N10" s="17"/>
      <c r="O10" s="17">
        <v>-9774669620</v>
      </c>
      <c r="P10" s="17"/>
      <c r="Q10" s="17">
        <f t="shared" si="1"/>
        <v>446416882</v>
      </c>
      <c r="R10" s="104"/>
      <c r="S10" s="104"/>
      <c r="T10" s="104"/>
    </row>
    <row r="11" spans="1:20">
      <c r="A11" s="136" t="s">
        <v>96</v>
      </c>
      <c r="C11" s="17">
        <f>VLOOKUP(A11,' سهام'!$A$10:$L$27,12,0)</f>
        <v>11393</v>
      </c>
      <c r="D11" s="17"/>
      <c r="E11" s="17">
        <v>5350522340</v>
      </c>
      <c r="F11" s="17"/>
      <c r="G11" s="17">
        <v>-5385607733</v>
      </c>
      <c r="H11" s="17"/>
      <c r="I11" s="17">
        <f t="shared" si="0"/>
        <v>-35085393</v>
      </c>
      <c r="J11" s="17"/>
      <c r="K11" s="17">
        <v>11393</v>
      </c>
      <c r="L11" s="17"/>
      <c r="M11" s="17">
        <f>VLOOKUP(A11,' سهام'!$A$10:$U$27,21,0)</f>
        <v>5350522340</v>
      </c>
      <c r="N11" s="17"/>
      <c r="O11" s="17">
        <v>-5385607733</v>
      </c>
      <c r="P11" s="17"/>
      <c r="Q11" s="17">
        <f t="shared" si="1"/>
        <v>-35085393</v>
      </c>
      <c r="R11" s="104"/>
      <c r="S11" s="104"/>
      <c r="T11" s="104"/>
    </row>
    <row r="12" spans="1:20">
      <c r="A12" s="136" t="s">
        <v>112</v>
      </c>
      <c r="C12" s="17">
        <f>VLOOKUP(A12,' سهام'!$A$10:$L$27,12,0)</f>
        <v>571</v>
      </c>
      <c r="D12" s="17"/>
      <c r="E12" s="17">
        <v>2206191553</v>
      </c>
      <c r="F12" s="17"/>
      <c r="G12" s="17">
        <v>-1915787398</v>
      </c>
      <c r="H12" s="17"/>
      <c r="I12" s="17">
        <f t="shared" si="0"/>
        <v>290404155</v>
      </c>
      <c r="J12" s="17"/>
      <c r="K12" s="17">
        <v>571</v>
      </c>
      <c r="L12" s="17"/>
      <c r="M12" s="17">
        <f>VLOOKUP(A12,' سهام'!$A$10:$U$27,21,0)</f>
        <v>2206191553</v>
      </c>
      <c r="N12" s="17"/>
      <c r="O12" s="17">
        <v>-1915787398</v>
      </c>
      <c r="P12" s="17"/>
      <c r="Q12" s="17">
        <f t="shared" si="1"/>
        <v>290404155</v>
      </c>
      <c r="R12" s="104"/>
      <c r="S12" s="104"/>
      <c r="T12" s="104"/>
    </row>
    <row r="13" spans="1:20">
      <c r="A13" s="136" t="s">
        <v>97</v>
      </c>
      <c r="C13" s="17">
        <f>VLOOKUP(A13,' سهام'!$A$10:$L$27,12,0)</f>
        <v>22699</v>
      </c>
      <c r="D13" s="17"/>
      <c r="E13" s="17">
        <v>10730421638</v>
      </c>
      <c r="F13" s="17"/>
      <c r="G13" s="17">
        <v>-10725179615</v>
      </c>
      <c r="H13" s="17"/>
      <c r="I13" s="17">
        <f t="shared" si="0"/>
        <v>5242023</v>
      </c>
      <c r="J13" s="17"/>
      <c r="K13" s="17">
        <v>22699</v>
      </c>
      <c r="L13" s="17"/>
      <c r="M13" s="17">
        <f>VLOOKUP(A13,' سهام'!$A$10:$U$27,21,0)</f>
        <v>10730421638</v>
      </c>
      <c r="N13" s="17"/>
      <c r="O13" s="17">
        <v>-10725179615</v>
      </c>
      <c r="P13" s="17"/>
      <c r="Q13" s="17">
        <f t="shared" si="1"/>
        <v>5242023</v>
      </c>
      <c r="R13" s="104"/>
      <c r="S13" s="104"/>
      <c r="T13" s="104"/>
    </row>
    <row r="14" spans="1:20">
      <c r="A14" s="136" t="s">
        <v>98</v>
      </c>
      <c r="C14" s="17">
        <f>VLOOKUP(A14,' سهام'!$A$10:$L$27,12,0)</f>
        <v>1963</v>
      </c>
      <c r="D14" s="17"/>
      <c r="E14" s="17">
        <v>5334019500</v>
      </c>
      <c r="F14" s="17"/>
      <c r="G14" s="17">
        <v>-5733163816</v>
      </c>
      <c r="H14" s="17"/>
      <c r="I14" s="17">
        <f t="shared" si="0"/>
        <v>-399144316</v>
      </c>
      <c r="J14" s="17"/>
      <c r="K14" s="17">
        <v>1963</v>
      </c>
      <c r="L14" s="17"/>
      <c r="M14" s="17">
        <f>VLOOKUP(A14,' سهام'!$A$10:$U$27,21,0)</f>
        <v>5334019500</v>
      </c>
      <c r="N14" s="17"/>
      <c r="O14" s="17">
        <v>-5733163816</v>
      </c>
      <c r="P14" s="17"/>
      <c r="Q14" s="17">
        <f t="shared" si="1"/>
        <v>-399144316</v>
      </c>
      <c r="R14" s="104"/>
      <c r="S14" s="104"/>
      <c r="T14" s="104"/>
    </row>
    <row r="15" spans="1:20">
      <c r="A15" s="136" t="s">
        <v>99</v>
      </c>
      <c r="C15" s="17">
        <f>VLOOKUP(A15,' سهام'!$A$10:$L$27,12,0)</f>
        <v>2739</v>
      </c>
      <c r="D15" s="17"/>
      <c r="E15" s="17">
        <v>6422341801</v>
      </c>
      <c r="F15" s="17"/>
      <c r="G15" s="17">
        <v>-6527833618</v>
      </c>
      <c r="H15" s="17"/>
      <c r="I15" s="17">
        <f t="shared" si="0"/>
        <v>-105491817</v>
      </c>
      <c r="J15" s="17"/>
      <c r="K15" s="17">
        <v>2739</v>
      </c>
      <c r="L15" s="17"/>
      <c r="M15" s="17">
        <f>VLOOKUP(A15,' سهام'!$A$10:$U$27,21,0)</f>
        <v>6422341801</v>
      </c>
      <c r="N15" s="17"/>
      <c r="O15" s="17">
        <v>-6527833618</v>
      </c>
      <c r="P15" s="17"/>
      <c r="Q15" s="17">
        <f t="shared" si="1"/>
        <v>-105491817</v>
      </c>
      <c r="R15" s="104"/>
      <c r="S15" s="104"/>
      <c r="T15" s="104"/>
    </row>
    <row r="16" spans="1:20">
      <c r="A16" s="136" t="s">
        <v>113</v>
      </c>
      <c r="C16" s="17">
        <f>VLOOKUP(A16,' سهام'!$A$10:$L$27,12,0)</f>
        <v>1374</v>
      </c>
      <c r="D16" s="17"/>
      <c r="E16" s="17">
        <v>3249938485</v>
      </c>
      <c r="F16" s="17"/>
      <c r="G16" s="17">
        <v>-3074323319</v>
      </c>
      <c r="H16" s="17"/>
      <c r="I16" s="17">
        <f t="shared" si="0"/>
        <v>175615166</v>
      </c>
      <c r="J16" s="17"/>
      <c r="K16" s="17">
        <v>1374</v>
      </c>
      <c r="L16" s="17"/>
      <c r="M16" s="17">
        <f>VLOOKUP(A16,' سهام'!$A$10:$U$27,21,0)</f>
        <v>3249938485</v>
      </c>
      <c r="N16" s="17"/>
      <c r="O16" s="17">
        <v>-3074323319</v>
      </c>
      <c r="P16" s="17"/>
      <c r="Q16" s="17">
        <f t="shared" si="1"/>
        <v>175615166</v>
      </c>
      <c r="R16" s="104"/>
      <c r="S16" s="104"/>
      <c r="T16" s="104"/>
    </row>
    <row r="17" spans="1:20">
      <c r="A17" s="136" t="s">
        <v>117</v>
      </c>
      <c r="C17" s="17">
        <f>VLOOKUP(A17,' سهام'!$A$10:$L$27,12,0)</f>
        <v>0</v>
      </c>
      <c r="D17" s="17"/>
      <c r="E17" s="17">
        <v>28755878400</v>
      </c>
      <c r="F17" s="17"/>
      <c r="G17" s="17">
        <v>-30272301675</v>
      </c>
      <c r="H17" s="17"/>
      <c r="I17" s="17">
        <f t="shared" si="0"/>
        <v>-1516423275</v>
      </c>
      <c r="J17" s="17"/>
      <c r="K17" s="17">
        <v>0</v>
      </c>
      <c r="L17" s="17"/>
      <c r="M17" s="17">
        <f>VLOOKUP(A17,' سهام'!$A$10:$U$27,21,0)</f>
        <v>28755878400</v>
      </c>
      <c r="N17" s="17"/>
      <c r="O17" s="17">
        <v>-30272301675</v>
      </c>
      <c r="P17" s="17"/>
      <c r="Q17" s="17">
        <f t="shared" si="1"/>
        <v>-1516423275</v>
      </c>
      <c r="R17" s="104"/>
      <c r="S17" s="104"/>
      <c r="T17" s="104"/>
    </row>
    <row r="18" spans="1:20">
      <c r="A18" s="136" t="s">
        <v>114</v>
      </c>
      <c r="C18" s="17">
        <f>VLOOKUP(A18,' سهام'!$A$10:$L$27,12,0)</f>
        <v>0</v>
      </c>
      <c r="D18" s="17"/>
      <c r="E18" s="17">
        <v>710318579</v>
      </c>
      <c r="F18" s="17"/>
      <c r="G18" s="17">
        <v>-627198694</v>
      </c>
      <c r="H18" s="17"/>
      <c r="I18" s="17">
        <f t="shared" si="0"/>
        <v>83119885</v>
      </c>
      <c r="J18" s="17"/>
      <c r="K18" s="17">
        <v>0</v>
      </c>
      <c r="L18" s="17"/>
      <c r="M18" s="17">
        <f>VLOOKUP(A18,' سهام'!$A$10:$U$27,21,0)</f>
        <v>710318579</v>
      </c>
      <c r="N18" s="17"/>
      <c r="O18" s="17">
        <v>-627198694</v>
      </c>
      <c r="P18" s="17"/>
      <c r="Q18" s="17">
        <f t="shared" si="1"/>
        <v>83119885</v>
      </c>
      <c r="R18" s="104"/>
      <c r="S18" s="104"/>
      <c r="T18" s="104"/>
    </row>
    <row r="19" spans="1:20">
      <c r="A19" s="136" t="s">
        <v>115</v>
      </c>
      <c r="C19" s="17">
        <f>VLOOKUP(A19,' سهام'!$A$10:$L$27,12,0)</f>
        <v>277</v>
      </c>
      <c r="D19" s="17"/>
      <c r="E19" s="17">
        <v>1877109250</v>
      </c>
      <c r="F19" s="17"/>
      <c r="G19" s="17">
        <v>-1823251264</v>
      </c>
      <c r="H19" s="17"/>
      <c r="I19" s="17">
        <f t="shared" si="0"/>
        <v>53857986</v>
      </c>
      <c r="J19" s="17"/>
      <c r="K19" s="17">
        <v>277</v>
      </c>
      <c r="L19" s="17"/>
      <c r="M19" s="17">
        <f>VLOOKUP(A19,' سهام'!$A$10:$U$27,21,0)</f>
        <v>1877109250</v>
      </c>
      <c r="N19" s="17"/>
      <c r="O19" s="17">
        <v>-1823251264</v>
      </c>
      <c r="P19" s="17"/>
      <c r="Q19" s="17">
        <f t="shared" si="1"/>
        <v>53857986</v>
      </c>
      <c r="R19" s="104"/>
      <c r="S19" s="104"/>
      <c r="T19" s="104"/>
    </row>
    <row r="20" spans="1:20">
      <c r="A20" s="136" t="s">
        <v>100</v>
      </c>
      <c r="C20" s="17">
        <f>VLOOKUP(A20,' سهام'!$A$10:$L$27,12,0)</f>
        <v>1189</v>
      </c>
      <c r="D20" s="17"/>
      <c r="E20" s="17">
        <v>7601836798</v>
      </c>
      <c r="F20" s="17"/>
      <c r="G20" s="17">
        <v>-8058387055</v>
      </c>
      <c r="H20" s="17"/>
      <c r="I20" s="17">
        <f t="shared" si="0"/>
        <v>-456550257</v>
      </c>
      <c r="J20" s="17"/>
      <c r="K20" s="17">
        <v>1189</v>
      </c>
      <c r="L20" s="17"/>
      <c r="M20" s="17">
        <f>VLOOKUP(A20,' سهام'!$A$10:$U$27,21,0)</f>
        <v>7601836798</v>
      </c>
      <c r="N20" s="17"/>
      <c r="O20" s="17">
        <v>-8058387055</v>
      </c>
      <c r="P20" s="17"/>
      <c r="Q20" s="17">
        <f t="shared" si="1"/>
        <v>-456550257</v>
      </c>
      <c r="R20" s="104"/>
      <c r="S20" s="104"/>
      <c r="T20" s="104"/>
    </row>
    <row r="21" spans="1:20">
      <c r="A21" s="136" t="s">
        <v>101</v>
      </c>
      <c r="C21" s="17">
        <f>VLOOKUP(A21,' سهام'!$A$10:$L$27,12,0)</f>
        <v>2218</v>
      </c>
      <c r="D21" s="17"/>
      <c r="E21" s="17">
        <v>8015669040</v>
      </c>
      <c r="F21" s="17"/>
      <c r="G21" s="17">
        <v>-8480345506</v>
      </c>
      <c r="H21" s="17"/>
      <c r="I21" s="17">
        <f t="shared" si="0"/>
        <v>-464676466</v>
      </c>
      <c r="J21" s="17"/>
      <c r="K21" s="17">
        <v>2218</v>
      </c>
      <c r="L21" s="17"/>
      <c r="M21" s="17">
        <f>VLOOKUP(A21,' سهام'!$A$10:$U$27,21,0)</f>
        <v>8015669040</v>
      </c>
      <c r="N21" s="17"/>
      <c r="O21" s="17">
        <v>-8480345506</v>
      </c>
      <c r="P21" s="17"/>
      <c r="Q21" s="17">
        <f t="shared" si="1"/>
        <v>-464676466</v>
      </c>
      <c r="R21" s="104"/>
      <c r="S21" s="104"/>
      <c r="T21" s="104"/>
    </row>
    <row r="22" spans="1:20">
      <c r="A22" s="136" t="s">
        <v>116</v>
      </c>
      <c r="C22" s="17">
        <f>VLOOKUP(A22,' سهام'!$A$10:$L$27,12,0)</f>
        <v>0</v>
      </c>
      <c r="D22" s="17"/>
      <c r="E22" s="17">
        <v>111121553</v>
      </c>
      <c r="F22" s="17"/>
      <c r="G22" s="17">
        <v>-119550839</v>
      </c>
      <c r="H22" s="17"/>
      <c r="I22" s="17">
        <f t="shared" si="0"/>
        <v>-8429286</v>
      </c>
      <c r="J22" s="17"/>
      <c r="K22" s="17">
        <v>0</v>
      </c>
      <c r="L22" s="17"/>
      <c r="M22" s="17">
        <f>VLOOKUP(A22,' سهام'!$A$10:$U$27,21,0)</f>
        <v>111121553</v>
      </c>
      <c r="N22" s="17"/>
      <c r="O22" s="17">
        <v>-119550839</v>
      </c>
      <c r="P22" s="17"/>
      <c r="Q22" s="17">
        <f t="shared" si="1"/>
        <v>-8429286</v>
      </c>
      <c r="R22" s="104"/>
      <c r="S22" s="104"/>
      <c r="T22" s="104"/>
    </row>
    <row r="23" spans="1:20">
      <c r="A23" s="136" t="s">
        <v>102</v>
      </c>
      <c r="C23" s="17">
        <f>VLOOKUP(A23,' سهام'!$A$10:$L$27,12,0)</f>
        <v>3484</v>
      </c>
      <c r="D23" s="17"/>
      <c r="E23" s="17">
        <v>9948695210</v>
      </c>
      <c r="F23" s="17"/>
      <c r="G23" s="17">
        <v>-10066748768</v>
      </c>
      <c r="H23" s="17"/>
      <c r="I23" s="17">
        <f t="shared" si="0"/>
        <v>-118053558</v>
      </c>
      <c r="J23" s="17"/>
      <c r="K23" s="17">
        <v>3484</v>
      </c>
      <c r="L23" s="17"/>
      <c r="M23" s="17">
        <f>VLOOKUP(A23,' سهام'!$A$10:$U$27,21,0)</f>
        <v>9948695210</v>
      </c>
      <c r="N23" s="17"/>
      <c r="O23" s="17">
        <v>-10066748768</v>
      </c>
      <c r="P23" s="17"/>
      <c r="Q23" s="17">
        <f t="shared" si="1"/>
        <v>-118053558</v>
      </c>
      <c r="R23" s="104"/>
      <c r="S23" s="104"/>
      <c r="T23" s="104"/>
    </row>
    <row r="24" spans="1:20">
      <c r="A24" s="136" t="s">
        <v>103</v>
      </c>
      <c r="C24" s="17">
        <f>VLOOKUP(A24,' سهام'!$A$10:$L$27,12,0)</f>
        <v>10790</v>
      </c>
      <c r="D24" s="17"/>
      <c r="E24" s="17">
        <v>10586645411</v>
      </c>
      <c r="F24" s="17"/>
      <c r="G24" s="17">
        <v>-11048772064</v>
      </c>
      <c r="H24" s="17"/>
      <c r="I24" s="17">
        <f t="shared" si="0"/>
        <v>-462126653</v>
      </c>
      <c r="J24" s="17"/>
      <c r="K24" s="17">
        <v>10790</v>
      </c>
      <c r="L24" s="17"/>
      <c r="M24" s="17">
        <f>VLOOKUP(A24,' سهام'!$A$10:$U$27,21,0)</f>
        <v>10586645411</v>
      </c>
      <c r="N24" s="17"/>
      <c r="O24" s="17">
        <v>-11048772064</v>
      </c>
      <c r="P24" s="17"/>
      <c r="Q24" s="17">
        <f t="shared" si="1"/>
        <v>-462126653</v>
      </c>
      <c r="R24" s="104"/>
      <c r="S24" s="104"/>
      <c r="T24" s="104"/>
    </row>
    <row r="25" spans="1:20">
      <c r="A25" s="136" t="s">
        <v>120</v>
      </c>
      <c r="C25" s="17">
        <f>VLOOKUP(A25,اوراق!A9:S9,19,0)</f>
        <v>6500</v>
      </c>
      <c r="D25" s="17"/>
      <c r="E25" s="17">
        <v>4501733915</v>
      </c>
      <c r="F25" s="17"/>
      <c r="G25" s="17">
        <v>-4511808615</v>
      </c>
      <c r="H25" s="17"/>
      <c r="I25" s="17">
        <f t="shared" si="0"/>
        <v>-10074700</v>
      </c>
      <c r="J25" s="17"/>
      <c r="K25" s="17">
        <v>6500</v>
      </c>
      <c r="L25" s="17"/>
      <c r="M25" s="17">
        <f>VLOOKUP(A25,اوراق!$A$9:$AE$9,31,0)</f>
        <v>4501733915</v>
      </c>
      <c r="N25" s="17"/>
      <c r="O25" s="17">
        <v>-4511808615</v>
      </c>
      <c r="P25" s="17"/>
      <c r="Q25" s="17">
        <f t="shared" si="1"/>
        <v>-10074700</v>
      </c>
      <c r="R25" s="104"/>
      <c r="S25" s="104"/>
      <c r="T25" s="104"/>
    </row>
    <row r="26" spans="1:20" ht="23.25" thickBot="1">
      <c r="A26" s="136"/>
      <c r="B26" s="136"/>
      <c r="C26" s="136"/>
      <c r="D26" s="136"/>
      <c r="E26" s="137">
        <f>SUM(E7:E25)</f>
        <v>208093315612</v>
      </c>
      <c r="F26" s="34"/>
      <c r="G26" s="137">
        <f>SUM(G7:G25)</f>
        <v>-186164236072</v>
      </c>
      <c r="H26" s="34"/>
      <c r="I26" s="137">
        <f>SUM(I7:I25)</f>
        <v>21929079540</v>
      </c>
      <c r="J26" s="34"/>
      <c r="K26" s="17"/>
      <c r="L26" s="34"/>
      <c r="M26" s="137">
        <f>SUM(M7:M25)</f>
        <v>208093315612</v>
      </c>
      <c r="N26" s="34"/>
      <c r="O26" s="137">
        <f>SUM(O7:O25)</f>
        <v>-186164236072</v>
      </c>
      <c r="P26" s="34"/>
      <c r="Q26" s="137">
        <f>SUM(Q7:Q25)</f>
        <v>21929079540</v>
      </c>
      <c r="R26" s="104"/>
      <c r="S26" s="104"/>
      <c r="T26" s="104"/>
    </row>
    <row r="27" spans="1:20" ht="23.25" thickTop="1">
      <c r="A27" s="74"/>
      <c r="B27" s="74"/>
      <c r="C27" s="84"/>
      <c r="D27" s="74"/>
      <c r="E27" s="57"/>
      <c r="F27" s="34"/>
      <c r="G27" s="57"/>
      <c r="H27" s="34"/>
      <c r="I27" s="57"/>
      <c r="J27" s="34"/>
      <c r="K27" s="84"/>
      <c r="L27" s="34"/>
      <c r="M27" s="57"/>
      <c r="N27" s="34"/>
      <c r="O27" s="57"/>
      <c r="P27" s="34"/>
      <c r="Q27" s="57"/>
      <c r="R27" s="104"/>
      <c r="S27" s="104"/>
      <c r="T27" s="104"/>
    </row>
    <row r="28" spans="1:20" ht="22.5">
      <c r="A28" s="74"/>
      <c r="B28" s="74"/>
      <c r="C28" s="84"/>
      <c r="D28" s="74"/>
      <c r="E28" s="57"/>
      <c r="F28" s="34"/>
      <c r="G28" s="57"/>
      <c r="H28" s="34"/>
      <c r="I28" s="57"/>
      <c r="J28" s="34"/>
      <c r="K28" s="84"/>
      <c r="L28" s="34"/>
      <c r="M28" s="57"/>
      <c r="N28" s="34"/>
      <c r="O28" s="57"/>
      <c r="P28" s="34"/>
      <c r="Q28" s="57"/>
      <c r="R28" s="104"/>
      <c r="S28" s="104"/>
      <c r="T28" s="104"/>
    </row>
    <row r="29" spans="1:20" ht="7.5" customHeight="1">
      <c r="A29" s="74"/>
      <c r="B29" s="74"/>
    </row>
    <row r="30" spans="1:20" ht="24.75" customHeight="1">
      <c r="A30" s="276" t="s">
        <v>45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8"/>
    </row>
    <row r="31" spans="1:20">
      <c r="Q31" s="134"/>
    </row>
    <row r="32" spans="1:20" s="35" customFormat="1" ht="24"/>
    <row r="33" spans="1:17">
      <c r="A33" s="17"/>
      <c r="C33" s="88"/>
      <c r="D33" s="88"/>
      <c r="E33" s="88"/>
      <c r="F33" s="88"/>
      <c r="G33" s="88"/>
      <c r="H33" s="88"/>
      <c r="I33" s="104"/>
      <c r="J33" s="88"/>
      <c r="K33" s="104"/>
      <c r="L33" s="88"/>
      <c r="M33" s="88"/>
      <c r="N33" s="88"/>
      <c r="O33" s="88"/>
      <c r="P33" s="88"/>
      <c r="Q33" s="104"/>
    </row>
    <row r="34" spans="1:17">
      <c r="A34" s="83"/>
      <c r="C34" s="17"/>
      <c r="D34" s="17"/>
      <c r="E34" s="138"/>
      <c r="F34" s="17"/>
      <c r="G34" s="138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s="35" customFormat="1" ht="24">
      <c r="I35" s="28"/>
      <c r="J35" s="37"/>
      <c r="K35" s="37"/>
      <c r="L35" s="37"/>
      <c r="M35" s="37"/>
      <c r="N35" s="37"/>
      <c r="O35" s="37"/>
      <c r="P35" s="37"/>
      <c r="Q35" s="28"/>
    </row>
    <row r="36" spans="1:17" s="35" customFormat="1" ht="24">
      <c r="I36" s="17"/>
      <c r="Q36" s="17"/>
    </row>
    <row r="37" spans="1:17" s="35" customFormat="1" ht="24">
      <c r="I37" s="28"/>
      <c r="Q37" s="28"/>
    </row>
    <row r="38" spans="1:17" s="35" customFormat="1" ht="24"/>
    <row r="39" spans="1:17" s="35" customFormat="1" ht="24"/>
    <row r="40" spans="1:17" s="35" customFormat="1" ht="24"/>
    <row r="41" spans="1:17" s="35" customFormat="1" ht="24"/>
    <row r="42" spans="1:17" s="35" customFormat="1" ht="24"/>
    <row r="43" spans="1:17" s="35" customFormat="1" ht="24"/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30:Q30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روکش</vt:lpstr>
      <vt:lpstr> سهام</vt:lpstr>
      <vt:lpstr>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Fatemeh Bakhtiari</cp:lastModifiedBy>
  <cp:lastPrinted>2023-10-25T16:54:14Z</cp:lastPrinted>
  <dcterms:created xsi:type="dcterms:W3CDTF">2017-11-22T14:26:20Z</dcterms:created>
  <dcterms:modified xsi:type="dcterms:W3CDTF">2023-11-29T09:41:44Z</dcterms:modified>
</cp:coreProperties>
</file>